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505" windowHeight="8160" activeTab="0"/>
  </bookViews>
  <sheets>
    <sheet name="KÖTVÉNY I.-792" sheetId="1" r:id="rId1"/>
    <sheet name="KÖTVÉNY II.-515" sheetId="2" r:id="rId2"/>
  </sheets>
  <definedNames/>
  <calcPr fullCalcOnLoad="1"/>
</workbook>
</file>

<file path=xl/sharedStrings.xml><?xml version="1.0" encoding="utf-8"?>
<sst xmlns="http://schemas.openxmlformats.org/spreadsheetml/2006/main" count="193" uniqueCount="111">
  <si>
    <t>Kibocsátás költségei</t>
  </si>
  <si>
    <t>Kamat fizetés</t>
  </si>
  <si>
    <t>Egyéb költség</t>
  </si>
  <si>
    <t>Fonoda úti ingatlanfejlesztés</t>
  </si>
  <si>
    <t>József A.53.ingatlanfejlesztés</t>
  </si>
  <si>
    <t>Belvárosi rehabilitáció</t>
  </si>
  <si>
    <t>Kis-hunyad u. 9</t>
  </si>
  <si>
    <t>Kamat bevételek</t>
  </si>
  <si>
    <t>Kötvénykibocsátás elszámolása</t>
  </si>
  <si>
    <t>Szemere u. 5. ingatlan vásárlás</t>
  </si>
  <si>
    <t>Portfóliós befizetés</t>
  </si>
  <si>
    <t>HOLCIM támogatás Fonoda u.</t>
  </si>
  <si>
    <t>Portfóliós lakás értékesítés bevétele</t>
  </si>
  <si>
    <t>2005 - 2008. év</t>
  </si>
  <si>
    <t>FPP többlet bevételek</t>
  </si>
  <si>
    <t>Felújításra átcsoportosított többlet bevétel</t>
  </si>
  <si>
    <t>Egyéb bevételek ( ing ért, tám. )</t>
  </si>
  <si>
    <t>Bevételek összesen</t>
  </si>
  <si>
    <t>Megtérülési bevételek össz:</t>
  </si>
  <si>
    <t>Kibocsátott kötvény értéke</t>
  </si>
  <si>
    <t>Fejlesztésre fordítható bevételek</t>
  </si>
  <si>
    <t>Fejlesztési források összesen</t>
  </si>
  <si>
    <t>Felhasználások egyenlege</t>
  </si>
  <si>
    <t>I. ( 1;2)</t>
  </si>
  <si>
    <t>KIBOCSÁTÁS, FELHASZNÁLÁS</t>
  </si>
  <si>
    <t>BEVÉTELEK, MEGTÉRÜLÉS</t>
  </si>
  <si>
    <t>Pénzügyi költségek</t>
  </si>
  <si>
    <t>Fejlesztési források</t>
  </si>
  <si>
    <t>Fejlesztési költségek</t>
  </si>
  <si>
    <t>Pénzügyi költségek összesen:</t>
  </si>
  <si>
    <t>Kamatfizetés</t>
  </si>
  <si>
    <t>Megtérülési egyenleg</t>
  </si>
  <si>
    <t>Pénzbevételek</t>
  </si>
  <si>
    <t>Fejlesztésre fordított pénzbevételek</t>
  </si>
  <si>
    <t>VI. =IV.-V.</t>
  </si>
  <si>
    <t xml:space="preserve">VIII. = VI.-VII. </t>
  </si>
  <si>
    <t xml:space="preserve">III. =  I.-II. </t>
  </si>
  <si>
    <t>HALMOZOTT PÉNZMARADVÁNY</t>
  </si>
  <si>
    <t>Ipari Park járó állami támogatás</t>
  </si>
  <si>
    <t xml:space="preserve">III. </t>
  </si>
  <si>
    <t>2009-ben belváros felújítására felhasználható szabad forrás</t>
  </si>
  <si>
    <t xml:space="preserve">III =  I.-II. </t>
  </si>
  <si>
    <t>Ingatlan vásárlásra átcsop. Többlet bevétel ( Fonoda )</t>
  </si>
  <si>
    <t xml:space="preserve">V. </t>
  </si>
  <si>
    <t>VÁROST ÉPÍTÜNK I. KÖTVÉNY</t>
  </si>
  <si>
    <t>VÁROST ÉPÍTÜNK II. KÖTVÉNY</t>
  </si>
  <si>
    <t xml:space="preserve">MIP állami támogatás </t>
  </si>
  <si>
    <t>Iparterület előkészítés</t>
  </si>
  <si>
    <t>PPP konstrukció bérleti díja</t>
  </si>
  <si>
    <t>Önkormányzat</t>
  </si>
  <si>
    <t>TÉNYLEGES PÉNZMARADVÁNY</t>
  </si>
  <si>
    <t>ELHELYEZETT ÓVADÉK</t>
  </si>
  <si>
    <t>HALMOZOTT ELHELYEZETT ÓVADÉK</t>
  </si>
  <si>
    <t>Nem támogatható költségek és a telek, kiegyenlítetlen</t>
  </si>
  <si>
    <t>Belváros felújítása, iparterületek</t>
  </si>
  <si>
    <t>MIP Ipari Park kivitelezés teljes beruházási költség</t>
  </si>
  <si>
    <t>Főkönyvi szám</t>
  </si>
  <si>
    <t>477321, 477322</t>
  </si>
  <si>
    <t>477332, 4773111</t>
  </si>
  <si>
    <t>477312, 4773111</t>
  </si>
  <si>
    <t>477352031,32,33,34</t>
  </si>
  <si>
    <t>44735, 4773506</t>
  </si>
  <si>
    <t>47735201, 47735202</t>
  </si>
  <si>
    <t>47731402, 47731403</t>
  </si>
  <si>
    <t>47735, 477381</t>
  </si>
  <si>
    <t>47735, 4773506</t>
  </si>
  <si>
    <t>44735, 4773505,06,07</t>
  </si>
  <si>
    <t>47735, 4773505,06.07,47739</t>
  </si>
  <si>
    <t>477313, 47731501,502</t>
  </si>
  <si>
    <t>47731401, 47731601,602</t>
  </si>
  <si>
    <t>Egyéb költség (szla vezetés)</t>
  </si>
  <si>
    <t>Egyéb MIK felhasználás</t>
  </si>
  <si>
    <t>Mechatronikai Ipari Park fejlesztés</t>
  </si>
  <si>
    <t>II. ( 3;9)</t>
  </si>
  <si>
    <t xml:space="preserve">MIK Zrt felhasználás összesen </t>
  </si>
  <si>
    <t>MIK Zrt által bizt bevételek ( MIP, Szemere)</t>
  </si>
  <si>
    <t>Önkormányzati felhasználás összesen</t>
  </si>
  <si>
    <t>MIK Szemere 5 hasznosítási bevétel</t>
  </si>
  <si>
    <t>MIK Ipari park hasznosítási bevétel</t>
  </si>
  <si>
    <t>II. ( 3;7)</t>
  </si>
  <si>
    <t>IV. (8;12)</t>
  </si>
  <si>
    <t>14</t>
  </si>
  <si>
    <t>2005-2012</t>
  </si>
  <si>
    <t>Kamatbevételek</t>
  </si>
  <si>
    <t>Teljes</t>
  </si>
  <si>
    <t>MIK</t>
  </si>
  <si>
    <t>Árfolyam különbözet</t>
  </si>
  <si>
    <t>X</t>
  </si>
  <si>
    <t>XI=IX-X</t>
  </si>
  <si>
    <t>VII. (13;16)</t>
  </si>
  <si>
    <t>IX=III.+VIII.</t>
  </si>
  <si>
    <t>Portfóliós ker. célú ing.  ért. bevétele</t>
  </si>
  <si>
    <t>IV. (10;14)</t>
  </si>
  <si>
    <t>V. (15;17)</t>
  </si>
  <si>
    <t>19</t>
  </si>
  <si>
    <t>20</t>
  </si>
  <si>
    <t>VII. (18;21)</t>
  </si>
  <si>
    <t>Portf. Lakás ért. költségei</t>
  </si>
  <si>
    <t>Portf. Ing. ért. költségei</t>
  </si>
  <si>
    <t>2013.01-12.</t>
  </si>
  <si>
    <t>ÖNK</t>
  </si>
  <si>
    <t>PPP lakások  bérl. díj bev.-költség</t>
  </si>
  <si>
    <t>Felhalmozási arány(2005-9)</t>
  </si>
  <si>
    <t>2005-2013.</t>
  </si>
  <si>
    <t>adatok eFt-ban</t>
  </si>
  <si>
    <t>I. kötvény Önkormányzatot terhelő része ezer Ft-ban:</t>
  </si>
  <si>
    <t>Önkormányzati célú felhasználás</t>
  </si>
  <si>
    <t>Egyenleg</t>
  </si>
  <si>
    <t>Önk. felhasználásra jutó árf. Kül.</t>
  </si>
  <si>
    <t>2014.01-12.</t>
  </si>
  <si>
    <t>2005-2014.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</si>
</sst>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0_ ;\-0\ "/>
    <numFmt numFmtId="170" formatCode="#,##0_ ;\-#,##0\ "/>
    <numFmt numFmtId="171" formatCode="&quot;H-&quot;0000"/>
    <numFmt numFmtId="172" formatCode="_-* #,##0.000\ _F_t_-;\-* #,##0.000\ _F_t_-;_-* &quot;-&quot;??\ _F_t_-;_-@_-"/>
    <numFmt numFmtId="173" formatCode="_-* #,##0.0000\ _F_t_-;\-* #,##0.0000\ _F_t_-;_-* &quot;-&quot;??\ _F_t_-;_-@_-"/>
    <numFmt numFmtId="174" formatCode="[$-40E]yyyy\.\ mmmm\ d\."/>
    <numFmt numFmtId="175" formatCode="0.0%"/>
    <numFmt numFmtId="176" formatCode="0.000%"/>
    <numFmt numFmtId="177" formatCode="0.0"/>
  </numFmts>
  <fonts count="5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u val="single"/>
      <sz val="11"/>
      <name val="Arial"/>
      <family val="2"/>
    </font>
    <font>
      <i/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u val="single"/>
      <sz val="11"/>
      <color indexed="10"/>
      <name val="Arial"/>
      <family val="2"/>
    </font>
    <font>
      <b/>
      <i/>
      <sz val="11"/>
      <color indexed="10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 shrinkToFi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6" fillId="0" borderId="0" xfId="4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 shrinkToFit="1"/>
    </xf>
    <xf numFmtId="0" fontId="4" fillId="0" borderId="11" xfId="0" applyFont="1" applyBorder="1" applyAlignment="1">
      <alignment wrapText="1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/>
    </xf>
    <xf numFmtId="0" fontId="16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0" fontId="6" fillId="0" borderId="10" xfId="0" applyFont="1" applyBorder="1" applyAlignment="1">
      <alignment horizontal="right"/>
    </xf>
    <xf numFmtId="0" fontId="17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3" fontId="17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2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12" fillId="0" borderId="12" xfId="0" applyFont="1" applyFill="1" applyBorder="1" applyAlignment="1">
      <alignment horizontal="left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6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/>
    </xf>
    <xf numFmtId="0" fontId="18" fillId="13" borderId="0" xfId="0" applyFont="1" applyFill="1" applyAlignment="1">
      <alignment horizontal="left"/>
    </xf>
    <xf numFmtId="3" fontId="5" fillId="13" borderId="0" xfId="0" applyNumberFormat="1" applyFont="1" applyFill="1" applyBorder="1" applyAlignment="1">
      <alignment horizontal="right"/>
    </xf>
    <xf numFmtId="0" fontId="6" fillId="13" borderId="0" xfId="0" applyFont="1" applyFill="1" applyAlignment="1">
      <alignment/>
    </xf>
    <xf numFmtId="3" fontId="5" fillId="13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13" borderId="12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vertical="center"/>
    </xf>
    <xf numFmtId="3" fontId="5" fillId="13" borderId="12" xfId="0" applyNumberFormat="1" applyFont="1" applyFill="1" applyBorder="1" applyAlignment="1">
      <alignment horizontal="right" vertical="center"/>
    </xf>
    <xf numFmtId="3" fontId="5" fillId="13" borderId="12" xfId="0" applyNumberFormat="1" applyFont="1" applyFill="1" applyBorder="1" applyAlignment="1">
      <alignment horizontal="right" vertical="center"/>
    </xf>
    <xf numFmtId="0" fontId="6" fillId="13" borderId="12" xfId="0" applyFont="1" applyFill="1" applyBorder="1" applyAlignment="1">
      <alignment/>
    </xf>
    <xf numFmtId="3" fontId="5" fillId="13" borderId="12" xfId="0" applyNumberFormat="1" applyFont="1" applyFill="1" applyBorder="1" applyAlignment="1">
      <alignment/>
    </xf>
    <xf numFmtId="0" fontId="5" fillId="13" borderId="0" xfId="0" applyFont="1" applyFill="1" applyAlignment="1">
      <alignment horizontal="center"/>
    </xf>
    <xf numFmtId="0" fontId="5" fillId="13" borderId="0" xfId="0" applyFont="1" applyFill="1" applyAlignment="1">
      <alignment/>
    </xf>
    <xf numFmtId="0" fontId="12" fillId="13" borderId="0" xfId="0" applyFont="1" applyFill="1" applyAlignment="1">
      <alignment horizontal="left"/>
    </xf>
    <xf numFmtId="3" fontId="5" fillId="13" borderId="0" xfId="0" applyNumberFormat="1" applyFont="1" applyFill="1" applyAlignment="1">
      <alignment horizontal="right"/>
    </xf>
    <xf numFmtId="0" fontId="6" fillId="13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13" borderId="1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9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6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15" fillId="0" borderId="11" xfId="0" applyFont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6" fillId="0" borderId="13" xfId="0" applyFont="1" applyBorder="1" applyAlignment="1">
      <alignment/>
    </xf>
    <xf numFmtId="0" fontId="15" fillId="0" borderId="13" xfId="0" applyFont="1" applyBorder="1" applyAlignment="1">
      <alignment horizontal="left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 shrinkToFit="1"/>
    </xf>
    <xf numFmtId="3" fontId="5" fillId="0" borderId="0" xfId="0" applyNumberFormat="1" applyFont="1" applyAlignment="1">
      <alignment shrinkToFit="1"/>
    </xf>
    <xf numFmtId="0" fontId="6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5" fillId="1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/>
    </xf>
    <xf numFmtId="0" fontId="15" fillId="13" borderId="11" xfId="0" applyFont="1" applyFill="1" applyBorder="1" applyAlignment="1">
      <alignment horizontal="left"/>
    </xf>
    <xf numFmtId="3" fontId="5" fillId="13" borderId="11" xfId="0" applyNumberFormat="1" applyFont="1" applyFill="1" applyBorder="1" applyAlignment="1">
      <alignment horizontal="right"/>
    </xf>
    <xf numFmtId="0" fontId="6" fillId="13" borderId="11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5" fillId="13" borderId="12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vertical="center"/>
    </xf>
    <xf numFmtId="0" fontId="15" fillId="13" borderId="12" xfId="0" applyFont="1" applyFill="1" applyBorder="1" applyAlignment="1">
      <alignment horizontal="left" vertical="center"/>
    </xf>
    <xf numFmtId="3" fontId="5" fillId="13" borderId="0" xfId="0" applyNumberFormat="1" applyFont="1" applyFill="1" applyAlignment="1">
      <alignment horizontal="right"/>
    </xf>
    <xf numFmtId="0" fontId="5" fillId="13" borderId="0" xfId="0" applyFont="1" applyFill="1" applyAlignment="1">
      <alignment/>
    </xf>
    <xf numFmtId="0" fontId="15" fillId="13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13" borderId="12" xfId="0" applyFont="1" applyFill="1" applyBorder="1" applyAlignment="1">
      <alignment/>
    </xf>
    <xf numFmtId="3" fontId="5" fillId="13" borderId="12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15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0" fontId="6" fillId="0" borderId="0" xfId="0" applyFont="1" applyAlignment="1">
      <alignment/>
    </xf>
    <xf numFmtId="10" fontId="5" fillId="0" borderId="0" xfId="0" applyNumberFormat="1" applyFont="1" applyAlignment="1">
      <alignment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0" xfId="0" applyFont="1" applyBorder="1" applyAlignment="1">
      <alignment shrinkToFit="1"/>
    </xf>
    <xf numFmtId="3" fontId="4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shrinkToFit="1"/>
    </xf>
    <xf numFmtId="3" fontId="4" fillId="0" borderId="0" xfId="0" applyNumberFormat="1" applyFont="1" applyBorder="1" applyAlignment="1">
      <alignment horizontal="right" shrinkToFit="1"/>
    </xf>
    <xf numFmtId="0" fontId="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right" shrinkToFit="1"/>
    </xf>
    <xf numFmtId="2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3" fontId="6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6"/>
  <sheetViews>
    <sheetView tabSelected="1" zoomScale="75" zoomScaleNormal="75" zoomScalePageLayoutView="82" workbookViewId="0" topLeftCell="A1">
      <pane ySplit="6" topLeftCell="A7" activePane="bottomLeft" state="frozen"/>
      <selection pane="topLeft" activeCell="A1" sqref="A1"/>
      <selection pane="bottomLeft" activeCell="AB1" sqref="AB1"/>
    </sheetView>
  </sheetViews>
  <sheetFormatPr defaultColWidth="9.140625" defaultRowHeight="12.75"/>
  <cols>
    <col min="1" max="1" width="4.140625" style="26" customWidth="1"/>
    <col min="2" max="2" width="16.140625" style="23" customWidth="1"/>
    <col min="3" max="3" width="53.421875" style="26" customWidth="1"/>
    <col min="4" max="4" width="25.00390625" style="61" hidden="1" customWidth="1"/>
    <col min="5" max="5" width="12.28125" style="25" hidden="1" customWidth="1"/>
    <col min="6" max="7" width="11.7109375" style="25" hidden="1" customWidth="1"/>
    <col min="8" max="9" width="10.421875" style="25" hidden="1" customWidth="1"/>
    <col min="10" max="11" width="9.57421875" style="25" hidden="1" customWidth="1"/>
    <col min="12" max="12" width="10.28125" style="25" hidden="1" customWidth="1"/>
    <col min="13" max="13" width="14.421875" style="29" hidden="1" customWidth="1"/>
    <col min="14" max="14" width="15.57421875" style="25" hidden="1" customWidth="1"/>
    <col min="15" max="16" width="12.8515625" style="29" hidden="1" customWidth="1"/>
    <col min="17" max="17" width="15.421875" style="26" hidden="1" customWidth="1"/>
    <col min="18" max="18" width="9.140625" style="26" hidden="1" customWidth="1"/>
    <col min="19" max="19" width="14.00390625" style="26" customWidth="1"/>
    <col min="20" max="20" width="15.28125" style="26" bestFit="1" customWidth="1"/>
    <col min="21" max="21" width="9.140625" style="26" customWidth="1"/>
    <col min="22" max="22" width="12.28125" style="26" bestFit="1" customWidth="1"/>
    <col min="23" max="23" width="16.00390625" style="26" customWidth="1"/>
    <col min="24" max="24" width="8.140625" style="26" bestFit="1" customWidth="1"/>
    <col min="25" max="25" width="18.7109375" style="26" customWidth="1"/>
    <col min="26" max="26" width="16.8515625" style="26" bestFit="1" customWidth="1"/>
    <col min="27" max="27" width="9.421875" style="26" bestFit="1" customWidth="1"/>
    <col min="28" max="16384" width="9.140625" style="26" customWidth="1"/>
  </cols>
  <sheetData>
    <row r="1" spans="10:20" ht="30.75" customHeight="1">
      <c r="J1" s="29"/>
      <c r="K1" s="29"/>
      <c r="L1" s="251"/>
      <c r="M1" s="251"/>
      <c r="N1" s="251"/>
      <c r="O1" s="251"/>
      <c r="P1" s="86"/>
      <c r="T1" s="29"/>
    </row>
    <row r="2" spans="3:27" ht="26.25" customHeight="1">
      <c r="C2" s="24" t="s">
        <v>44</v>
      </c>
      <c r="D2" s="40">
        <v>12500000</v>
      </c>
      <c r="E2" s="212">
        <v>156.9</v>
      </c>
      <c r="F2" s="26"/>
      <c r="G2" s="26"/>
      <c r="H2" s="26"/>
      <c r="I2" s="26"/>
      <c r="J2" s="26"/>
      <c r="K2" s="26"/>
      <c r="L2" s="5">
        <v>241.06</v>
      </c>
      <c r="N2" s="26"/>
      <c r="P2" s="29">
        <v>242.14</v>
      </c>
      <c r="V2" s="239">
        <v>261.85</v>
      </c>
      <c r="Z2" s="256" t="s">
        <v>104</v>
      </c>
      <c r="AA2" s="256"/>
    </row>
    <row r="3" spans="5:16" ht="15" hidden="1">
      <c r="E3" s="24" t="s">
        <v>8</v>
      </c>
      <c r="F3" s="26"/>
      <c r="G3" s="26"/>
      <c r="H3" s="26"/>
      <c r="I3" s="26"/>
      <c r="J3" s="26"/>
      <c r="K3" s="26"/>
      <c r="L3" s="26"/>
      <c r="M3" s="27"/>
      <c r="N3" s="26"/>
      <c r="O3" s="27"/>
      <c r="P3" s="27"/>
    </row>
    <row r="4" spans="3:16" ht="15" hidden="1">
      <c r="C4" s="27"/>
      <c r="E4" s="28" t="s">
        <v>13</v>
      </c>
      <c r="F4" s="26"/>
      <c r="G4" s="26"/>
      <c r="H4" s="26"/>
      <c r="I4" s="26"/>
      <c r="J4" s="26"/>
      <c r="K4" s="26"/>
      <c r="L4" s="26"/>
      <c r="M4" s="27"/>
      <c r="N4" s="26"/>
      <c r="O4" s="27"/>
      <c r="P4" s="27"/>
    </row>
    <row r="5" spans="1:16" ht="15">
      <c r="A5" s="26">
        <v>0</v>
      </c>
      <c r="C5" s="27"/>
      <c r="D5" s="40">
        <f>D2*E2</f>
        <v>1961250000</v>
      </c>
      <c r="E5" s="28"/>
      <c r="F5" s="26"/>
      <c r="G5" s="26"/>
      <c r="H5" s="26"/>
      <c r="I5" s="26"/>
      <c r="J5" s="26"/>
      <c r="K5" s="26"/>
      <c r="L5" s="26"/>
      <c r="M5" s="27"/>
      <c r="N5" s="26"/>
      <c r="O5" s="27"/>
      <c r="P5" s="27"/>
    </row>
    <row r="6" spans="3:27" ht="15">
      <c r="C6" s="27"/>
      <c r="D6" s="61" t="s">
        <v>56</v>
      </c>
      <c r="E6" s="24">
        <v>2005</v>
      </c>
      <c r="F6" s="24">
        <v>2006</v>
      </c>
      <c r="G6" s="24">
        <v>2007</v>
      </c>
      <c r="H6" s="24">
        <v>2008</v>
      </c>
      <c r="I6" s="24">
        <v>2009</v>
      </c>
      <c r="J6" s="24">
        <v>2010</v>
      </c>
      <c r="K6" s="24">
        <v>2011</v>
      </c>
      <c r="L6" s="24">
        <v>2012</v>
      </c>
      <c r="M6" s="24" t="s">
        <v>82</v>
      </c>
      <c r="N6" s="24" t="s">
        <v>82</v>
      </c>
      <c r="O6" s="24" t="s">
        <v>82</v>
      </c>
      <c r="P6" s="117" t="s">
        <v>99</v>
      </c>
      <c r="Q6" s="249" t="s">
        <v>99</v>
      </c>
      <c r="R6" s="249"/>
      <c r="S6" s="250" t="s">
        <v>103</v>
      </c>
      <c r="T6" s="250"/>
      <c r="U6" s="250"/>
      <c r="V6" s="249" t="s">
        <v>109</v>
      </c>
      <c r="W6" s="249"/>
      <c r="X6" s="249"/>
      <c r="Y6" s="250" t="s">
        <v>110</v>
      </c>
      <c r="Z6" s="250"/>
      <c r="AA6" s="250"/>
    </row>
    <row r="7" spans="3:27" ht="15">
      <c r="C7" s="27"/>
      <c r="E7" s="24"/>
      <c r="F7" s="24"/>
      <c r="G7" s="24"/>
      <c r="H7" s="24"/>
      <c r="I7" s="24"/>
      <c r="J7" s="24"/>
      <c r="K7" s="24"/>
      <c r="L7" s="24"/>
      <c r="M7" s="24" t="s">
        <v>84</v>
      </c>
      <c r="N7" s="24" t="s">
        <v>49</v>
      </c>
      <c r="O7" s="24" t="s">
        <v>85</v>
      </c>
      <c r="P7" s="24" t="s">
        <v>84</v>
      </c>
      <c r="Q7" s="24" t="s">
        <v>49</v>
      </c>
      <c r="R7" s="24" t="s">
        <v>85</v>
      </c>
      <c r="S7" s="4" t="s">
        <v>84</v>
      </c>
      <c r="T7" s="24" t="s">
        <v>49</v>
      </c>
      <c r="U7" s="24" t="s">
        <v>85</v>
      </c>
      <c r="V7" s="24" t="s">
        <v>84</v>
      </c>
      <c r="W7" s="24" t="s">
        <v>49</v>
      </c>
      <c r="X7" s="24" t="s">
        <v>85</v>
      </c>
      <c r="Y7" s="4" t="s">
        <v>84</v>
      </c>
      <c r="Z7" s="24" t="s">
        <v>49</v>
      </c>
      <c r="AA7" s="24" t="s">
        <v>85</v>
      </c>
    </row>
    <row r="8" spans="3:27" ht="15">
      <c r="C8" s="27"/>
      <c r="E8" s="29"/>
      <c r="F8" s="29"/>
      <c r="G8" s="29"/>
      <c r="H8" s="29"/>
      <c r="I8" s="30"/>
      <c r="J8" s="29"/>
      <c r="K8" s="29"/>
      <c r="L8" s="29"/>
      <c r="N8" s="78">
        <v>0.94746</v>
      </c>
      <c r="O8" s="79">
        <f>1-N8</f>
        <v>0.05254000000000003</v>
      </c>
      <c r="P8" s="79"/>
      <c r="Q8" s="87">
        <v>0.94746</v>
      </c>
      <c r="R8" s="88">
        <f>1-Q8</f>
        <v>0.05254000000000003</v>
      </c>
      <c r="S8" s="88"/>
      <c r="T8" s="87">
        <v>0.94746</v>
      </c>
      <c r="U8" s="88">
        <f>1-T8</f>
        <v>0.05254000000000003</v>
      </c>
      <c r="V8" s="79"/>
      <c r="W8" s="87">
        <v>0.94746</v>
      </c>
      <c r="X8" s="88">
        <f>1-W8</f>
        <v>0.05254000000000003</v>
      </c>
      <c r="Y8" s="88"/>
      <c r="Z8" s="87">
        <v>0.94746</v>
      </c>
      <c r="AA8" s="88">
        <f>1-Z8</f>
        <v>0.05254000000000003</v>
      </c>
    </row>
    <row r="9" spans="2:14" ht="15">
      <c r="B9" s="31" t="s">
        <v>24</v>
      </c>
      <c r="C9" s="27"/>
      <c r="D9" s="62"/>
      <c r="E9" s="29"/>
      <c r="F9" s="29"/>
      <c r="G9" s="29"/>
      <c r="H9" s="29"/>
      <c r="I9" s="29"/>
      <c r="J9" s="29"/>
      <c r="K9" s="29"/>
      <c r="L9" s="29"/>
      <c r="N9" s="29"/>
    </row>
    <row r="10" spans="2:14" ht="11.25" customHeight="1">
      <c r="B10" s="31"/>
      <c r="C10" s="27"/>
      <c r="E10" s="29"/>
      <c r="F10" s="29"/>
      <c r="G10" s="29"/>
      <c r="H10" s="29"/>
      <c r="I10" s="29"/>
      <c r="J10" s="29"/>
      <c r="K10" s="29"/>
      <c r="L10" s="29"/>
      <c r="N10" s="29"/>
    </row>
    <row r="11" spans="3:14" ht="15">
      <c r="C11" s="32" t="s">
        <v>27</v>
      </c>
      <c r="E11" s="29"/>
      <c r="F11" s="29"/>
      <c r="G11" s="29"/>
      <c r="H11" s="29"/>
      <c r="I11" s="29"/>
      <c r="J11" s="29"/>
      <c r="K11" s="29"/>
      <c r="L11" s="29"/>
      <c r="N11" s="29"/>
    </row>
    <row r="12" spans="2:27" ht="15">
      <c r="B12" s="23">
        <v>1</v>
      </c>
      <c r="C12" s="26" t="s">
        <v>19</v>
      </c>
      <c r="D12" s="61">
        <v>433</v>
      </c>
      <c r="E12" s="33">
        <v>1961250</v>
      </c>
      <c r="M12" s="34">
        <f>SUM(E12:L12)</f>
        <v>1961250</v>
      </c>
      <c r="O12" s="34"/>
      <c r="P12" s="34"/>
      <c r="S12" s="119">
        <f>+M12+P12</f>
        <v>1961250</v>
      </c>
      <c r="T12" s="25"/>
      <c r="U12" s="34"/>
      <c r="Y12" s="119">
        <f>+S12+V12</f>
        <v>1961250</v>
      </c>
      <c r="Z12" s="25"/>
      <c r="AA12" s="34"/>
    </row>
    <row r="13" spans="2:27" s="36" customFormat="1" ht="15">
      <c r="B13" s="35">
        <v>2</v>
      </c>
      <c r="C13" s="36" t="s">
        <v>20</v>
      </c>
      <c r="D13" s="63"/>
      <c r="E13" s="37"/>
      <c r="F13" s="37"/>
      <c r="G13" s="38">
        <v>7463</v>
      </c>
      <c r="H13" s="38">
        <v>53587</v>
      </c>
      <c r="I13" s="38"/>
      <c r="J13" s="38"/>
      <c r="K13" s="38"/>
      <c r="L13" s="38"/>
      <c r="M13" s="39">
        <f>SUM(E13:L13)</f>
        <v>61050</v>
      </c>
      <c r="N13" s="38"/>
      <c r="O13" s="39"/>
      <c r="P13" s="39"/>
      <c r="S13" s="119">
        <f aca="true" t="shared" si="0" ref="S13:S28">+M13+P13</f>
        <v>61050</v>
      </c>
      <c r="T13" s="38"/>
      <c r="U13" s="39"/>
      <c r="Y13" s="119">
        <f aca="true" t="shared" si="1" ref="Y13:Y28">+S13+V13</f>
        <v>61050</v>
      </c>
      <c r="Z13" s="38"/>
      <c r="AA13" s="39"/>
    </row>
    <row r="14" spans="2:27" s="27" customFormat="1" ht="14.25" customHeight="1">
      <c r="B14" s="24" t="s">
        <v>23</v>
      </c>
      <c r="C14" s="27" t="s">
        <v>21</v>
      </c>
      <c r="D14" s="62"/>
      <c r="E14" s="34">
        <f aca="true" t="shared" si="2" ref="E14:M14">SUM(E12:E13)</f>
        <v>1961250</v>
      </c>
      <c r="F14" s="34">
        <f t="shared" si="2"/>
        <v>0</v>
      </c>
      <c r="G14" s="34">
        <f t="shared" si="2"/>
        <v>7463</v>
      </c>
      <c r="H14" s="34">
        <f>SUM(H12:H13)</f>
        <v>53587</v>
      </c>
      <c r="I14" s="34">
        <f>SUM(I12:I13)</f>
        <v>0</v>
      </c>
      <c r="J14" s="34">
        <f>SUM(J12:J13)</f>
        <v>0</v>
      </c>
      <c r="K14" s="34">
        <f>SUM(K12:K13)</f>
        <v>0</v>
      </c>
      <c r="L14" s="34">
        <f>SUM(L12:L13)</f>
        <v>0</v>
      </c>
      <c r="M14" s="34">
        <f t="shared" si="2"/>
        <v>2022300</v>
      </c>
      <c r="N14" s="34"/>
      <c r="O14" s="34"/>
      <c r="P14" s="34"/>
      <c r="S14" s="214">
        <f t="shared" si="0"/>
        <v>2022300</v>
      </c>
      <c r="T14" s="34"/>
      <c r="U14" s="34"/>
      <c r="Y14" s="214">
        <f t="shared" si="1"/>
        <v>2022300</v>
      </c>
      <c r="Z14" s="34"/>
      <c r="AA14" s="34"/>
    </row>
    <row r="15" spans="2:27" s="27" customFormat="1" ht="11.25" customHeight="1">
      <c r="B15" s="24"/>
      <c r="D15" s="61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S15" s="119">
        <f t="shared" si="0"/>
        <v>0</v>
      </c>
      <c r="T15" s="34"/>
      <c r="U15" s="34"/>
      <c r="Y15" s="119">
        <f t="shared" si="1"/>
        <v>0</v>
      </c>
      <c r="Z15" s="34"/>
      <c r="AA15" s="34"/>
    </row>
    <row r="16" spans="3:27" ht="15">
      <c r="C16" s="32" t="s">
        <v>28</v>
      </c>
      <c r="S16" s="119">
        <f t="shared" si="0"/>
        <v>0</v>
      </c>
      <c r="T16" s="25"/>
      <c r="U16" s="29"/>
      <c r="Y16" s="119">
        <f t="shared" si="1"/>
        <v>0</v>
      </c>
      <c r="Z16" s="25"/>
      <c r="AA16" s="29"/>
    </row>
    <row r="17" spans="2:27" ht="19.5" customHeight="1">
      <c r="B17" s="23">
        <v>3</v>
      </c>
      <c r="C17" s="26" t="s">
        <v>3</v>
      </c>
      <c r="D17" s="61">
        <v>4773507</v>
      </c>
      <c r="E17" s="40">
        <v>368037</v>
      </c>
      <c r="F17" s="40">
        <v>131980</v>
      </c>
      <c r="G17" s="40"/>
      <c r="H17" s="40">
        <v>24987</v>
      </c>
      <c r="I17" s="40"/>
      <c r="J17" s="40"/>
      <c r="K17" s="40"/>
      <c r="L17" s="40"/>
      <c r="M17" s="34">
        <f>SUM(E17:L17)</f>
        <v>525004</v>
      </c>
      <c r="N17" s="12">
        <f>M17</f>
        <v>525004</v>
      </c>
      <c r="O17" s="34"/>
      <c r="P17" s="34"/>
      <c r="S17" s="119">
        <f t="shared" si="0"/>
        <v>525004</v>
      </c>
      <c r="T17" s="12">
        <f>S17</f>
        <v>525004</v>
      </c>
      <c r="U17" s="34"/>
      <c r="Y17" s="119">
        <f t="shared" si="1"/>
        <v>525004</v>
      </c>
      <c r="Z17" s="12">
        <f>Y17</f>
        <v>525004</v>
      </c>
      <c r="AA17" s="34"/>
    </row>
    <row r="18" spans="2:27" ht="15">
      <c r="B18" s="23">
        <v>4</v>
      </c>
      <c r="C18" s="26" t="s">
        <v>4</v>
      </c>
      <c r="D18" s="61">
        <v>44735</v>
      </c>
      <c r="E18" s="40">
        <v>77589</v>
      </c>
      <c r="F18" s="40">
        <v>48290</v>
      </c>
      <c r="G18" s="40">
        <v>18100</v>
      </c>
      <c r="H18" s="40"/>
      <c r="I18" s="40"/>
      <c r="J18" s="40"/>
      <c r="K18" s="40"/>
      <c r="L18" s="40"/>
      <c r="M18" s="34">
        <f>SUM(E18:L18)</f>
        <v>143979</v>
      </c>
      <c r="N18" s="12">
        <f>M18</f>
        <v>143979</v>
      </c>
      <c r="O18" s="34"/>
      <c r="P18" s="34"/>
      <c r="S18" s="119">
        <f t="shared" si="0"/>
        <v>143979</v>
      </c>
      <c r="T18" s="12">
        <f>S18</f>
        <v>143979</v>
      </c>
      <c r="U18" s="34"/>
      <c r="Y18" s="119">
        <f t="shared" si="1"/>
        <v>143979</v>
      </c>
      <c r="Z18" s="12">
        <f>Y18</f>
        <v>143979</v>
      </c>
      <c r="AA18" s="34"/>
    </row>
    <row r="19" spans="2:27" ht="15">
      <c r="B19" s="23">
        <v>5</v>
      </c>
      <c r="C19" s="26" t="s">
        <v>5</v>
      </c>
      <c r="D19" s="61" t="s">
        <v>67</v>
      </c>
      <c r="E19" s="40">
        <v>63076</v>
      </c>
      <c r="F19" s="40">
        <f>247530+13109+166312+17526-17530</f>
        <v>426947</v>
      </c>
      <c r="G19" s="40">
        <f>335511+16485+17164-10548</f>
        <v>358612</v>
      </c>
      <c r="H19" s="40">
        <f>8184+67824</f>
        <v>76008</v>
      </c>
      <c r="I19" s="40"/>
      <c r="J19" s="40"/>
      <c r="K19" s="40"/>
      <c r="L19" s="40"/>
      <c r="M19" s="34">
        <f>SUM(E19:L19)</f>
        <v>924643</v>
      </c>
      <c r="N19" s="12">
        <f>M19</f>
        <v>924643</v>
      </c>
      <c r="O19" s="34"/>
      <c r="P19" s="34"/>
      <c r="S19" s="119">
        <f t="shared" si="0"/>
        <v>924643</v>
      </c>
      <c r="T19" s="12">
        <f>S19</f>
        <v>924643</v>
      </c>
      <c r="U19" s="34"/>
      <c r="Y19" s="119">
        <f t="shared" si="1"/>
        <v>924643</v>
      </c>
      <c r="Z19" s="12">
        <f>Y19</f>
        <v>924643</v>
      </c>
      <c r="AA19" s="34"/>
    </row>
    <row r="20" spans="2:27" ht="15">
      <c r="B20" s="23">
        <v>6</v>
      </c>
      <c r="C20" s="26" t="s">
        <v>6</v>
      </c>
      <c r="D20" s="61">
        <v>47735</v>
      </c>
      <c r="E20" s="40"/>
      <c r="F20" s="40">
        <v>270815</v>
      </c>
      <c r="G20" s="40">
        <v>1100</v>
      </c>
      <c r="H20" s="40"/>
      <c r="I20" s="40"/>
      <c r="J20" s="40"/>
      <c r="K20" s="40"/>
      <c r="L20" s="40"/>
      <c r="M20" s="34">
        <f>SUM(E20:L20)</f>
        <v>271915</v>
      </c>
      <c r="N20" s="12">
        <f>M20</f>
        <v>271915</v>
      </c>
      <c r="O20" s="34"/>
      <c r="P20" s="34"/>
      <c r="S20" s="119">
        <f t="shared" si="0"/>
        <v>271915</v>
      </c>
      <c r="T20" s="12">
        <f>S20</f>
        <v>271915</v>
      </c>
      <c r="U20" s="34"/>
      <c r="Y20" s="119">
        <f t="shared" si="1"/>
        <v>271915</v>
      </c>
      <c r="Z20" s="12">
        <f>Y20</f>
        <v>271915</v>
      </c>
      <c r="AA20" s="34"/>
    </row>
    <row r="21" spans="2:27" s="36" customFormat="1" ht="15">
      <c r="B21" s="35">
        <v>7</v>
      </c>
      <c r="C21" s="36" t="s">
        <v>47</v>
      </c>
      <c r="D21" s="63" t="s">
        <v>65</v>
      </c>
      <c r="E21" s="38">
        <v>383</v>
      </c>
      <c r="F21" s="38">
        <f>32119-2660</f>
        <v>29459</v>
      </c>
      <c r="G21" s="38">
        <f>28554-3045</f>
        <v>25509</v>
      </c>
      <c r="H21" s="38">
        <v>54</v>
      </c>
      <c r="I21" s="38"/>
      <c r="J21" s="38"/>
      <c r="K21" s="38"/>
      <c r="L21" s="38"/>
      <c r="M21" s="39">
        <f>SUM(E21:L21)</f>
        <v>55405</v>
      </c>
      <c r="N21" s="10">
        <f>M21</f>
        <v>55405</v>
      </c>
      <c r="O21" s="39"/>
      <c r="P21" s="39"/>
      <c r="S21" s="119">
        <f t="shared" si="0"/>
        <v>55405</v>
      </c>
      <c r="T21" s="10">
        <f>S21</f>
        <v>55405</v>
      </c>
      <c r="U21" s="39"/>
      <c r="Y21" s="119">
        <f t="shared" si="1"/>
        <v>55405</v>
      </c>
      <c r="Z21" s="10">
        <f>Y21</f>
        <v>55405</v>
      </c>
      <c r="AA21" s="39"/>
    </row>
    <row r="22" spans="2:27" ht="15">
      <c r="B22" s="73" t="s">
        <v>76</v>
      </c>
      <c r="C22" s="73"/>
      <c r="D22" s="70"/>
      <c r="E22" s="74">
        <f>SUM(E17:E21)</f>
        <v>509085</v>
      </c>
      <c r="F22" s="74">
        <f aca="true" t="shared" si="3" ref="F22:O22">SUM(F17:F21)</f>
        <v>907491</v>
      </c>
      <c r="G22" s="74">
        <f t="shared" si="3"/>
        <v>403321</v>
      </c>
      <c r="H22" s="74">
        <f t="shared" si="3"/>
        <v>101049</v>
      </c>
      <c r="I22" s="74">
        <f t="shared" si="3"/>
        <v>0</v>
      </c>
      <c r="J22" s="74">
        <f t="shared" si="3"/>
        <v>0</v>
      </c>
      <c r="K22" s="74">
        <f t="shared" si="3"/>
        <v>0</v>
      </c>
      <c r="L22" s="74">
        <f t="shared" si="3"/>
        <v>0</v>
      </c>
      <c r="M22" s="74">
        <f t="shared" si="3"/>
        <v>1920946</v>
      </c>
      <c r="N22" s="74">
        <f t="shared" si="3"/>
        <v>1920946</v>
      </c>
      <c r="O22" s="74">
        <f t="shared" si="3"/>
        <v>0</v>
      </c>
      <c r="P22" s="74"/>
      <c r="S22" s="214">
        <f t="shared" si="0"/>
        <v>1920946</v>
      </c>
      <c r="T22" s="74">
        <f>SUM(T17:T21)</f>
        <v>1920946</v>
      </c>
      <c r="U22" s="74">
        <f>SUM(U17:U21)</f>
        <v>0</v>
      </c>
      <c r="Y22" s="214">
        <f t="shared" si="1"/>
        <v>1920946</v>
      </c>
      <c r="Z22" s="74">
        <f>SUM(Z17:Z21)</f>
        <v>1920946</v>
      </c>
      <c r="AA22" s="74">
        <f>SUM(AA17:AA21)</f>
        <v>0</v>
      </c>
    </row>
    <row r="23" spans="2:27" ht="15">
      <c r="B23" s="23">
        <v>8</v>
      </c>
      <c r="C23" s="59" t="s">
        <v>72</v>
      </c>
      <c r="D23" s="61">
        <v>47738</v>
      </c>
      <c r="E23" s="60"/>
      <c r="F23" s="60">
        <f>59695+2660</f>
        <v>62355</v>
      </c>
      <c r="G23" s="60">
        <f>13050+3045</f>
        <v>16095</v>
      </c>
      <c r="H23" s="60"/>
      <c r="I23" s="60"/>
      <c r="J23" s="60"/>
      <c r="K23" s="60"/>
      <c r="L23" s="60"/>
      <c r="M23" s="34">
        <f>SUM(E23:L23)</f>
        <v>78450</v>
      </c>
      <c r="N23" s="60"/>
      <c r="O23" s="34">
        <f>SUM(M23:N23)</f>
        <v>78450</v>
      </c>
      <c r="P23" s="34"/>
      <c r="S23" s="119">
        <f t="shared" si="0"/>
        <v>78450</v>
      </c>
      <c r="T23" s="60"/>
      <c r="U23" s="34">
        <f>SUM(S23:T23)</f>
        <v>78450</v>
      </c>
      <c r="Y23" s="119">
        <f t="shared" si="1"/>
        <v>78450</v>
      </c>
      <c r="Z23" s="60"/>
      <c r="AA23" s="34">
        <f>SUM(Y23:Z23)</f>
        <v>78450</v>
      </c>
    </row>
    <row r="24" spans="2:27" ht="15">
      <c r="B24" s="89">
        <v>9</v>
      </c>
      <c r="C24" s="90" t="s">
        <v>71</v>
      </c>
      <c r="D24" s="65"/>
      <c r="E24" s="91"/>
      <c r="F24" s="91">
        <v>17530</v>
      </c>
      <c r="G24" s="91">
        <v>10548</v>
      </c>
      <c r="H24" s="91"/>
      <c r="I24" s="91"/>
      <c r="J24" s="91"/>
      <c r="K24" s="91"/>
      <c r="L24" s="91"/>
      <c r="M24" s="51">
        <f>SUM(E24:L24)</f>
        <v>28078</v>
      </c>
      <c r="N24" s="91"/>
      <c r="O24" s="51">
        <f>SUM(M24:N24)</f>
        <v>28078</v>
      </c>
      <c r="P24" s="51"/>
      <c r="S24" s="119">
        <f t="shared" si="0"/>
        <v>28078</v>
      </c>
      <c r="T24" s="91"/>
      <c r="U24" s="51">
        <f>SUM(S24:T24)</f>
        <v>28078</v>
      </c>
      <c r="Y24" s="119">
        <f t="shared" si="1"/>
        <v>28078</v>
      </c>
      <c r="Z24" s="91"/>
      <c r="AA24" s="51">
        <f>SUM(Y24:Z24)</f>
        <v>28078</v>
      </c>
    </row>
    <row r="25" spans="2:27" s="95" customFormat="1" ht="15">
      <c r="B25" s="92" t="s">
        <v>74</v>
      </c>
      <c r="C25" s="92"/>
      <c r="D25" s="93"/>
      <c r="E25" s="94">
        <f>SUM(E23:E24)</f>
        <v>0</v>
      </c>
      <c r="F25" s="94">
        <f aca="true" t="shared" si="4" ref="F25:O25">SUM(F23:F24)</f>
        <v>79885</v>
      </c>
      <c r="G25" s="94">
        <f t="shared" si="4"/>
        <v>26643</v>
      </c>
      <c r="H25" s="94">
        <f t="shared" si="4"/>
        <v>0</v>
      </c>
      <c r="I25" s="94">
        <f t="shared" si="4"/>
        <v>0</v>
      </c>
      <c r="J25" s="94">
        <f t="shared" si="4"/>
        <v>0</v>
      </c>
      <c r="K25" s="94">
        <f t="shared" si="4"/>
        <v>0</v>
      </c>
      <c r="L25" s="94">
        <f t="shared" si="4"/>
        <v>0</v>
      </c>
      <c r="M25" s="94">
        <f t="shared" si="4"/>
        <v>106528</v>
      </c>
      <c r="N25" s="94"/>
      <c r="O25" s="94">
        <f t="shared" si="4"/>
        <v>106528</v>
      </c>
      <c r="P25" s="94"/>
      <c r="S25" s="201">
        <f t="shared" si="0"/>
        <v>106528</v>
      </c>
      <c r="T25" s="94"/>
      <c r="U25" s="94">
        <f>SUM(U23:U24)</f>
        <v>106528</v>
      </c>
      <c r="Y25" s="201">
        <f t="shared" si="1"/>
        <v>106528</v>
      </c>
      <c r="Z25" s="94"/>
      <c r="AA25" s="94">
        <f>SUM(AA23:AA24)</f>
        <v>106528</v>
      </c>
    </row>
    <row r="26" spans="2:27" s="126" customFormat="1" ht="27" customHeight="1">
      <c r="B26" s="122" t="s">
        <v>73</v>
      </c>
      <c r="C26" s="123" t="s">
        <v>28</v>
      </c>
      <c r="D26" s="124" t="s">
        <v>60</v>
      </c>
      <c r="E26" s="125">
        <f>SUM(E22+E25)</f>
        <v>509085</v>
      </c>
      <c r="F26" s="125">
        <f aca="true" t="shared" si="5" ref="F26:O26">SUM(F22+F25)</f>
        <v>987376</v>
      </c>
      <c r="G26" s="125">
        <f t="shared" si="5"/>
        <v>429964</v>
      </c>
      <c r="H26" s="125">
        <f t="shared" si="5"/>
        <v>101049</v>
      </c>
      <c r="I26" s="125">
        <f t="shared" si="5"/>
        <v>0</v>
      </c>
      <c r="J26" s="125">
        <f t="shared" si="5"/>
        <v>0</v>
      </c>
      <c r="K26" s="125">
        <f t="shared" si="5"/>
        <v>0</v>
      </c>
      <c r="L26" s="125">
        <f t="shared" si="5"/>
        <v>0</v>
      </c>
      <c r="M26" s="125">
        <f t="shared" si="5"/>
        <v>2027474</v>
      </c>
      <c r="N26" s="125">
        <f t="shared" si="5"/>
        <v>1920946</v>
      </c>
      <c r="O26" s="125">
        <f t="shared" si="5"/>
        <v>106528</v>
      </c>
      <c r="P26" s="125"/>
      <c r="S26" s="125">
        <f t="shared" si="0"/>
        <v>2027474</v>
      </c>
      <c r="T26" s="125">
        <f>SUM(T22+T25)</f>
        <v>1920946</v>
      </c>
      <c r="U26" s="125">
        <f>SUM(U22+U25)</f>
        <v>106528</v>
      </c>
      <c r="Y26" s="125">
        <f t="shared" si="1"/>
        <v>2027474</v>
      </c>
      <c r="Z26" s="125">
        <f>SUM(Z22+Z25)</f>
        <v>1920946</v>
      </c>
      <c r="AA26" s="125">
        <f>SUM(AA22+AA25)</f>
        <v>106528</v>
      </c>
    </row>
    <row r="27" spans="2:27" s="95" customFormat="1" ht="15">
      <c r="B27" s="96"/>
      <c r="D27" s="97" t="s">
        <v>61</v>
      </c>
      <c r="E27" s="98"/>
      <c r="F27" s="98"/>
      <c r="G27" s="98"/>
      <c r="H27" s="98"/>
      <c r="I27" s="98"/>
      <c r="J27" s="98"/>
      <c r="K27" s="98"/>
      <c r="L27" s="98"/>
      <c r="M27" s="99"/>
      <c r="N27" s="98"/>
      <c r="O27" s="99"/>
      <c r="P27" s="99"/>
      <c r="S27" s="95">
        <f t="shared" si="0"/>
        <v>0</v>
      </c>
      <c r="T27" s="98"/>
      <c r="U27" s="99"/>
      <c r="Y27" s="95">
        <f t="shared" si="1"/>
        <v>0</v>
      </c>
      <c r="Z27" s="98"/>
      <c r="AA27" s="99"/>
    </row>
    <row r="28" spans="2:27" s="101" customFormat="1" ht="21.75" customHeight="1" thickBot="1">
      <c r="B28" s="44" t="s">
        <v>36</v>
      </c>
      <c r="C28" s="45" t="s">
        <v>22</v>
      </c>
      <c r="D28" s="100" t="s">
        <v>64</v>
      </c>
      <c r="E28" s="46">
        <f aca="true" t="shared" si="6" ref="E28:M28">SUM(E14-E26)</f>
        <v>1452165</v>
      </c>
      <c r="F28" s="46">
        <f t="shared" si="6"/>
        <v>-987376</v>
      </c>
      <c r="G28" s="46">
        <f t="shared" si="6"/>
        <v>-422501</v>
      </c>
      <c r="H28" s="46">
        <f t="shared" si="6"/>
        <v>-47462</v>
      </c>
      <c r="I28" s="46">
        <f t="shared" si="6"/>
        <v>0</v>
      </c>
      <c r="J28" s="46">
        <f t="shared" si="6"/>
        <v>0</v>
      </c>
      <c r="K28" s="46">
        <f t="shared" si="6"/>
        <v>0</v>
      </c>
      <c r="L28" s="46">
        <f t="shared" si="6"/>
        <v>0</v>
      </c>
      <c r="M28" s="46">
        <f t="shared" si="6"/>
        <v>-5174</v>
      </c>
      <c r="N28" s="46">
        <f>M28</f>
        <v>-5174</v>
      </c>
      <c r="O28" s="46">
        <f>+M28-N28</f>
        <v>0</v>
      </c>
      <c r="P28" s="46"/>
      <c r="S28" s="215">
        <f t="shared" si="0"/>
        <v>-5174</v>
      </c>
      <c r="T28" s="18">
        <f>S28</f>
        <v>-5174</v>
      </c>
      <c r="U28" s="46">
        <f>+S28-T28</f>
        <v>0</v>
      </c>
      <c r="Y28" s="215">
        <f t="shared" si="1"/>
        <v>-5174</v>
      </c>
      <c r="Z28" s="18">
        <f>Y28</f>
        <v>-5174</v>
      </c>
      <c r="AA28" s="46">
        <f>+Y28-Z28</f>
        <v>0</v>
      </c>
    </row>
    <row r="29" spans="2:16" ht="10.5" customHeight="1" thickTop="1">
      <c r="B29" s="24"/>
      <c r="C29" s="47"/>
      <c r="D29" s="64">
        <v>477381</v>
      </c>
      <c r="M29" s="34"/>
      <c r="O29" s="34"/>
      <c r="P29" s="34"/>
    </row>
    <row r="30" ht="5.25" customHeight="1">
      <c r="D30" s="64">
        <v>477381</v>
      </c>
    </row>
    <row r="31" spans="2:4" ht="15">
      <c r="B31" s="31" t="s">
        <v>25</v>
      </c>
      <c r="D31" s="65">
        <v>47731603</v>
      </c>
    </row>
    <row r="32" ht="9.75" customHeight="1">
      <c r="B32" s="31"/>
    </row>
    <row r="33" spans="2:3" ht="15">
      <c r="B33" s="31"/>
      <c r="C33" s="32" t="s">
        <v>32</v>
      </c>
    </row>
    <row r="34" spans="2:27" ht="15">
      <c r="B34" s="23">
        <v>10</v>
      </c>
      <c r="C34" s="26" t="s">
        <v>7</v>
      </c>
      <c r="D34" s="66" t="s">
        <v>59</v>
      </c>
      <c r="E34" s="40">
        <v>30464</v>
      </c>
      <c r="F34" s="40">
        <v>50945</v>
      </c>
      <c r="G34" s="40">
        <v>371</v>
      </c>
      <c r="H34" s="48">
        <v>59</v>
      </c>
      <c r="I34" s="49">
        <v>8155</v>
      </c>
      <c r="J34" s="48">
        <v>14787</v>
      </c>
      <c r="K34" s="48">
        <v>28354</v>
      </c>
      <c r="L34" s="48">
        <v>54553</v>
      </c>
      <c r="M34" s="34">
        <f>SUM(E34:L34)</f>
        <v>187688</v>
      </c>
      <c r="N34" s="12">
        <f>M34-O34</f>
        <v>174791</v>
      </c>
      <c r="O34" s="34">
        <v>12897</v>
      </c>
      <c r="P34" s="34">
        <f>SUM(Q34:R34)</f>
        <v>35295</v>
      </c>
      <c r="Q34" s="211">
        <v>18894</v>
      </c>
      <c r="R34" s="34">
        <v>16401</v>
      </c>
      <c r="S34" s="119">
        <f>+M34+P34</f>
        <v>222983</v>
      </c>
      <c r="T34" s="119">
        <f>+N34+Q34</f>
        <v>193685</v>
      </c>
      <c r="U34" s="119">
        <f>+O34+R34</f>
        <v>29298</v>
      </c>
      <c r="V34" s="71">
        <v>18830</v>
      </c>
      <c r="W34" s="71">
        <f>V34-X34</f>
        <v>9548</v>
      </c>
      <c r="X34" s="71">
        <v>9282</v>
      </c>
      <c r="Y34" s="119">
        <f aca="true" t="shared" si="7" ref="Y34:AA35">+S34+V34</f>
        <v>241813</v>
      </c>
      <c r="Z34" s="119">
        <f t="shared" si="7"/>
        <v>203233</v>
      </c>
      <c r="AA34" s="119">
        <f t="shared" si="7"/>
        <v>38580</v>
      </c>
    </row>
    <row r="35" spans="2:27" ht="15">
      <c r="B35" s="23">
        <v>11</v>
      </c>
      <c r="C35" s="26" t="s">
        <v>14</v>
      </c>
      <c r="D35" s="61" t="s">
        <v>68</v>
      </c>
      <c r="E35" s="40">
        <v>37966</v>
      </c>
      <c r="F35" s="40">
        <v>129445</v>
      </c>
      <c r="G35" s="40">
        <f>122331+68858+1115</f>
        <v>192304</v>
      </c>
      <c r="H35" s="48">
        <f>175268-19417+13451</f>
        <v>169302</v>
      </c>
      <c r="I35" s="48">
        <f>127675-7499</f>
        <v>120176</v>
      </c>
      <c r="J35" s="48">
        <v>72802</v>
      </c>
      <c r="K35" s="48">
        <v>165255</v>
      </c>
      <c r="L35" s="48">
        <v>46392</v>
      </c>
      <c r="M35" s="34">
        <f>SUM(E35:L35)</f>
        <v>933642</v>
      </c>
      <c r="N35" s="12">
        <f aca="true" t="shared" si="8" ref="N35:N43">M35</f>
        <v>933642</v>
      </c>
      <c r="O35" s="34"/>
      <c r="P35" s="34">
        <f>Q35</f>
        <v>88653</v>
      </c>
      <c r="Q35" s="34">
        <v>88653</v>
      </c>
      <c r="S35" s="119">
        <f aca="true" t="shared" si="9" ref="S35:S59">+M35+P35</f>
        <v>1022295</v>
      </c>
      <c r="T35" s="119">
        <f aca="true" t="shared" si="10" ref="T35:T59">+N35+Q35</f>
        <v>1022295</v>
      </c>
      <c r="U35" s="119">
        <f aca="true" t="shared" si="11" ref="U35:U59">+O35+R35</f>
        <v>0</v>
      </c>
      <c r="V35" s="71">
        <v>127901</v>
      </c>
      <c r="W35" s="71">
        <f>V35-X35</f>
        <v>127901</v>
      </c>
      <c r="X35" s="71"/>
      <c r="Y35" s="119">
        <f t="shared" si="7"/>
        <v>1150196</v>
      </c>
      <c r="Z35" s="119">
        <f t="shared" si="7"/>
        <v>1150196</v>
      </c>
      <c r="AA35" s="119">
        <f t="shared" si="7"/>
        <v>0</v>
      </c>
    </row>
    <row r="36" spans="2:27" ht="15">
      <c r="B36" s="23">
        <v>12</v>
      </c>
      <c r="C36" s="171" t="s">
        <v>91</v>
      </c>
      <c r="E36" s="40"/>
      <c r="F36" s="40"/>
      <c r="G36" s="40"/>
      <c r="H36" s="48"/>
      <c r="I36" s="48"/>
      <c r="J36" s="48"/>
      <c r="K36" s="48"/>
      <c r="L36" s="48"/>
      <c r="M36" s="34"/>
      <c r="N36" s="12"/>
      <c r="O36" s="34"/>
      <c r="P36" s="34">
        <f>Q36</f>
        <v>25200</v>
      </c>
      <c r="Q36" s="34">
        <v>25200</v>
      </c>
      <c r="S36" s="119">
        <f t="shared" si="9"/>
        <v>25200</v>
      </c>
      <c r="T36" s="119">
        <f t="shared" si="10"/>
        <v>25200</v>
      </c>
      <c r="U36" s="119"/>
      <c r="V36" s="71">
        <v>66100</v>
      </c>
      <c r="W36" s="71">
        <f>V36-X36</f>
        <v>66100</v>
      </c>
      <c r="X36" s="71"/>
      <c r="Y36" s="119">
        <f>+S36+V36</f>
        <v>91300</v>
      </c>
      <c r="Z36" s="119">
        <f>+T36+W36</f>
        <v>91300</v>
      </c>
      <c r="AA36" s="119"/>
    </row>
    <row r="37" spans="2:27" ht="15">
      <c r="B37" s="23">
        <v>13</v>
      </c>
      <c r="C37" s="26" t="s">
        <v>75</v>
      </c>
      <c r="E37" s="40"/>
      <c r="F37" s="40"/>
      <c r="G37" s="40"/>
      <c r="H37" s="48"/>
      <c r="I37" s="48"/>
      <c r="J37" s="48"/>
      <c r="K37" s="48"/>
      <c r="L37" s="48">
        <f>78450+28078</f>
        <v>106528</v>
      </c>
      <c r="M37" s="34">
        <f>SUM(E37:L37)</f>
        <v>106528</v>
      </c>
      <c r="N37" s="12"/>
      <c r="O37" s="34">
        <f>M37</f>
        <v>106528</v>
      </c>
      <c r="P37" s="34"/>
      <c r="Q37" s="34"/>
      <c r="S37" s="119">
        <f t="shared" si="9"/>
        <v>106528</v>
      </c>
      <c r="T37" s="119"/>
      <c r="U37" s="119">
        <f t="shared" si="11"/>
        <v>106528</v>
      </c>
      <c r="V37" s="241"/>
      <c r="W37" s="71"/>
      <c r="X37" s="71"/>
      <c r="Y37" s="119">
        <f aca="true" t="shared" si="12" ref="Y37:Y44">+S37+V37</f>
        <v>106528</v>
      </c>
      <c r="Z37" s="119"/>
      <c r="AA37" s="119">
        <f aca="true" t="shared" si="13" ref="AA37:AA44">+U37+X37</f>
        <v>106528</v>
      </c>
    </row>
    <row r="38" spans="2:27" s="36" customFormat="1" ht="15">
      <c r="B38" s="35">
        <v>14</v>
      </c>
      <c r="C38" s="36" t="s">
        <v>16</v>
      </c>
      <c r="D38" s="63" t="s">
        <v>69</v>
      </c>
      <c r="E38" s="38"/>
      <c r="F38" s="38">
        <v>50083</v>
      </c>
      <c r="G38" s="38">
        <v>7463</v>
      </c>
      <c r="H38" s="38">
        <v>50</v>
      </c>
      <c r="I38" s="38">
        <v>22614</v>
      </c>
      <c r="J38" s="38"/>
      <c r="K38" s="38"/>
      <c r="L38" s="38"/>
      <c r="M38" s="39">
        <f>SUM(E38:L38)</f>
        <v>80210</v>
      </c>
      <c r="N38" s="10">
        <f t="shared" si="8"/>
        <v>80210</v>
      </c>
      <c r="O38" s="39"/>
      <c r="P38" s="39"/>
      <c r="Q38" s="39"/>
      <c r="S38" s="120">
        <f t="shared" si="9"/>
        <v>80210</v>
      </c>
      <c r="T38" s="120">
        <f t="shared" si="10"/>
        <v>80210</v>
      </c>
      <c r="U38" s="120">
        <f t="shared" si="11"/>
        <v>0</v>
      </c>
      <c r="V38" s="242"/>
      <c r="W38" s="80"/>
      <c r="X38" s="80"/>
      <c r="Y38" s="120">
        <f t="shared" si="12"/>
        <v>80210</v>
      </c>
      <c r="Z38" s="120">
        <f aca="true" t="shared" si="14" ref="Z38:Z44">+T38+W38</f>
        <v>80210</v>
      </c>
      <c r="AA38" s="120">
        <f t="shared" si="13"/>
        <v>0</v>
      </c>
    </row>
    <row r="39" spans="2:27" ht="15">
      <c r="B39" s="4" t="s">
        <v>92</v>
      </c>
      <c r="C39" s="50" t="s">
        <v>17</v>
      </c>
      <c r="E39" s="51">
        <f aca="true" t="shared" si="15" ref="E39:R39">SUM(E34:E38)</f>
        <v>68430</v>
      </c>
      <c r="F39" s="51">
        <f t="shared" si="15"/>
        <v>230473</v>
      </c>
      <c r="G39" s="51">
        <f t="shared" si="15"/>
        <v>200138</v>
      </c>
      <c r="H39" s="51">
        <f>SUM(H34:H38)</f>
        <v>169411</v>
      </c>
      <c r="I39" s="51">
        <f>SUM(I34:I38)</f>
        <v>150945</v>
      </c>
      <c r="J39" s="51">
        <f>SUM(J34:J38)</f>
        <v>87589</v>
      </c>
      <c r="K39" s="51">
        <f>SUM(K34:K38)</f>
        <v>193609</v>
      </c>
      <c r="L39" s="51">
        <f>SUM(L34:L38)</f>
        <v>207473</v>
      </c>
      <c r="M39" s="82">
        <f t="shared" si="15"/>
        <v>1308068</v>
      </c>
      <c r="N39" s="82">
        <f t="shared" si="15"/>
        <v>1188643</v>
      </c>
      <c r="O39" s="82">
        <f t="shared" si="15"/>
        <v>119425</v>
      </c>
      <c r="P39" s="82">
        <f t="shared" si="15"/>
        <v>149148</v>
      </c>
      <c r="Q39" s="82">
        <f t="shared" si="15"/>
        <v>132747</v>
      </c>
      <c r="R39" s="82">
        <f t="shared" si="15"/>
        <v>16401</v>
      </c>
      <c r="S39" s="119">
        <f t="shared" si="9"/>
        <v>1457216</v>
      </c>
      <c r="T39" s="119">
        <f t="shared" si="10"/>
        <v>1321390</v>
      </c>
      <c r="U39" s="119">
        <f t="shared" si="11"/>
        <v>135826</v>
      </c>
      <c r="V39" s="58">
        <f>SUM(V34:V38)</f>
        <v>212831</v>
      </c>
      <c r="W39" s="71">
        <f>V39-X39</f>
        <v>203549</v>
      </c>
      <c r="X39" s="58">
        <f>SUM(X34:X38)</f>
        <v>9282</v>
      </c>
      <c r="Y39" s="119">
        <f t="shared" si="12"/>
        <v>1670047</v>
      </c>
      <c r="Z39" s="119">
        <f t="shared" si="14"/>
        <v>1524939</v>
      </c>
      <c r="AA39" s="119">
        <f t="shared" si="13"/>
        <v>145108</v>
      </c>
    </row>
    <row r="40" spans="2:27" ht="15">
      <c r="B40" s="23">
        <v>15</v>
      </c>
      <c r="C40" s="26" t="s">
        <v>11</v>
      </c>
      <c r="D40" s="65"/>
      <c r="E40" s="40"/>
      <c r="F40" s="40"/>
      <c r="G40" s="40">
        <v>-7463</v>
      </c>
      <c r="H40" s="40"/>
      <c r="I40" s="40"/>
      <c r="J40" s="40"/>
      <c r="K40" s="40"/>
      <c r="L40" s="40"/>
      <c r="M40" s="34">
        <f>SUM(E40:L40)</f>
        <v>-7463</v>
      </c>
      <c r="N40" s="12">
        <f t="shared" si="8"/>
        <v>-7463</v>
      </c>
      <c r="O40" s="34"/>
      <c r="P40" s="34"/>
      <c r="Q40" s="34"/>
      <c r="S40" s="119">
        <f t="shared" si="9"/>
        <v>-7463</v>
      </c>
      <c r="T40" s="119">
        <f t="shared" si="10"/>
        <v>-7463</v>
      </c>
      <c r="U40" s="119">
        <f t="shared" si="11"/>
        <v>0</v>
      </c>
      <c r="V40" s="241"/>
      <c r="W40" s="71"/>
      <c r="X40" s="71"/>
      <c r="Y40" s="119">
        <f t="shared" si="12"/>
        <v>-7463</v>
      </c>
      <c r="Z40" s="119">
        <f t="shared" si="14"/>
        <v>-7463</v>
      </c>
      <c r="AA40" s="119">
        <f t="shared" si="13"/>
        <v>0</v>
      </c>
    </row>
    <row r="41" spans="2:27" ht="15">
      <c r="B41" s="23">
        <v>16</v>
      </c>
      <c r="C41" s="26" t="s">
        <v>42</v>
      </c>
      <c r="E41" s="40"/>
      <c r="F41" s="40"/>
      <c r="G41" s="40"/>
      <c r="H41" s="40">
        <v>-24987</v>
      </c>
      <c r="I41" s="40"/>
      <c r="J41" s="40"/>
      <c r="K41" s="40"/>
      <c r="L41" s="40"/>
      <c r="M41" s="34">
        <f>SUM(E41:L41)</f>
        <v>-24987</v>
      </c>
      <c r="N41" s="12">
        <f t="shared" si="8"/>
        <v>-24987</v>
      </c>
      <c r="O41" s="34"/>
      <c r="P41" s="34"/>
      <c r="Q41" s="34"/>
      <c r="S41" s="119">
        <f t="shared" si="9"/>
        <v>-24987</v>
      </c>
      <c r="T41" s="119">
        <f t="shared" si="10"/>
        <v>-24987</v>
      </c>
      <c r="U41" s="119">
        <f t="shared" si="11"/>
        <v>0</v>
      </c>
      <c r="V41" s="241"/>
      <c r="W41" s="71"/>
      <c r="X41" s="71"/>
      <c r="Y41" s="119">
        <f t="shared" si="12"/>
        <v>-24987</v>
      </c>
      <c r="Z41" s="119">
        <f t="shared" si="14"/>
        <v>-24987</v>
      </c>
      <c r="AA41" s="119">
        <f t="shared" si="13"/>
        <v>0</v>
      </c>
    </row>
    <row r="42" spans="2:27" ht="16.5" customHeight="1">
      <c r="B42" s="89">
        <v>17</v>
      </c>
      <c r="C42" s="102" t="s">
        <v>15</v>
      </c>
      <c r="E42" s="103"/>
      <c r="F42" s="103"/>
      <c r="G42" s="103"/>
      <c r="H42" s="103">
        <v>-28600</v>
      </c>
      <c r="I42" s="103"/>
      <c r="J42" s="103"/>
      <c r="K42" s="103"/>
      <c r="L42" s="103"/>
      <c r="M42" s="34">
        <f>SUM(E42:L42)</f>
        <v>-28600</v>
      </c>
      <c r="N42" s="12">
        <f t="shared" si="8"/>
        <v>-28600</v>
      </c>
      <c r="O42" s="34"/>
      <c r="P42" s="34"/>
      <c r="Q42" s="39"/>
      <c r="R42" s="36"/>
      <c r="S42" s="119">
        <f t="shared" si="9"/>
        <v>-28600</v>
      </c>
      <c r="T42" s="119">
        <f t="shared" si="10"/>
        <v>-28600</v>
      </c>
      <c r="U42" s="119">
        <f t="shared" si="11"/>
        <v>0</v>
      </c>
      <c r="V42" s="241"/>
      <c r="W42" s="71"/>
      <c r="X42" s="71"/>
      <c r="Y42" s="119">
        <f t="shared" si="12"/>
        <v>-28600</v>
      </c>
      <c r="Z42" s="119">
        <f t="shared" si="14"/>
        <v>-28600</v>
      </c>
      <c r="AA42" s="119">
        <f t="shared" si="13"/>
        <v>0</v>
      </c>
    </row>
    <row r="43" spans="2:27" s="95" customFormat="1" ht="23.25" customHeight="1">
      <c r="B43" s="41" t="s">
        <v>93</v>
      </c>
      <c r="C43" s="57" t="s">
        <v>33</v>
      </c>
      <c r="D43" s="67"/>
      <c r="E43" s="43">
        <f aca="true" t="shared" si="16" ref="E43:O43">SUM(E40:E42)</f>
        <v>0</v>
      </c>
      <c r="F43" s="43">
        <f t="shared" si="16"/>
        <v>0</v>
      </c>
      <c r="G43" s="43">
        <f t="shared" si="16"/>
        <v>-7463</v>
      </c>
      <c r="H43" s="43">
        <f>SUM(H40:H42)</f>
        <v>-53587</v>
      </c>
      <c r="I43" s="43">
        <f>SUM(I40:I42)</f>
        <v>0</v>
      </c>
      <c r="J43" s="43">
        <f>SUM(J40:J42)</f>
        <v>0</v>
      </c>
      <c r="K43" s="43">
        <f>SUM(K40:K42)</f>
        <v>0</v>
      </c>
      <c r="L43" s="43">
        <f>SUM(L40:L42)</f>
        <v>0</v>
      </c>
      <c r="M43" s="43">
        <f t="shared" si="16"/>
        <v>-61050</v>
      </c>
      <c r="N43" s="17">
        <f t="shared" si="8"/>
        <v>-61050</v>
      </c>
      <c r="O43" s="43">
        <f t="shared" si="16"/>
        <v>0</v>
      </c>
      <c r="P43" s="43"/>
      <c r="Q43" s="34"/>
      <c r="R43" s="36"/>
      <c r="S43" s="121">
        <f t="shared" si="9"/>
        <v>-61050</v>
      </c>
      <c r="T43" s="121">
        <f t="shared" si="10"/>
        <v>-61050</v>
      </c>
      <c r="U43" s="121">
        <f t="shared" si="11"/>
        <v>0</v>
      </c>
      <c r="V43" s="202"/>
      <c r="W43" s="201"/>
      <c r="X43" s="201"/>
      <c r="Y43" s="121">
        <f t="shared" si="12"/>
        <v>-61050</v>
      </c>
      <c r="Z43" s="121">
        <f t="shared" si="14"/>
        <v>-61050</v>
      </c>
      <c r="AA43" s="121">
        <f t="shared" si="13"/>
        <v>0</v>
      </c>
    </row>
    <row r="44" spans="2:27" s="144" customFormat="1" ht="21" customHeight="1">
      <c r="B44" s="141" t="s">
        <v>34</v>
      </c>
      <c r="C44" s="142" t="s">
        <v>18</v>
      </c>
      <c r="D44" s="143"/>
      <c r="E44" s="83">
        <f aca="true" t="shared" si="17" ref="E44:R44">SUM(E39+E43)</f>
        <v>68430</v>
      </c>
      <c r="F44" s="83">
        <f t="shared" si="17"/>
        <v>230473</v>
      </c>
      <c r="G44" s="83">
        <f t="shared" si="17"/>
        <v>192675</v>
      </c>
      <c r="H44" s="83">
        <f>SUM(H39+H43)</f>
        <v>115824</v>
      </c>
      <c r="I44" s="83">
        <f>SUM(I39+I43)</f>
        <v>150945</v>
      </c>
      <c r="J44" s="83">
        <f>SUM(J39+J43)</f>
        <v>87589</v>
      </c>
      <c r="K44" s="83">
        <f>SUM(K39+K43)</f>
        <v>193609</v>
      </c>
      <c r="L44" s="83">
        <f>SUM(L39+L43)</f>
        <v>207473</v>
      </c>
      <c r="M44" s="83">
        <f t="shared" si="17"/>
        <v>1247018</v>
      </c>
      <c r="N44" s="83">
        <f t="shared" si="17"/>
        <v>1127593</v>
      </c>
      <c r="O44" s="83">
        <f t="shared" si="17"/>
        <v>119425</v>
      </c>
      <c r="P44" s="83">
        <f t="shared" si="17"/>
        <v>149148</v>
      </c>
      <c r="Q44" s="83">
        <f t="shared" si="17"/>
        <v>132747</v>
      </c>
      <c r="R44" s="83">
        <f t="shared" si="17"/>
        <v>16401</v>
      </c>
      <c r="S44" s="119">
        <f t="shared" si="9"/>
        <v>1396166</v>
      </c>
      <c r="T44" s="145">
        <f t="shared" si="10"/>
        <v>1260340</v>
      </c>
      <c r="U44" s="145">
        <f t="shared" si="11"/>
        <v>135826</v>
      </c>
      <c r="V44" s="201">
        <f>SUM(V39+V43)</f>
        <v>212831</v>
      </c>
      <c r="W44" s="201">
        <f>SUM(W39+W43)</f>
        <v>203549</v>
      </c>
      <c r="X44" s="201">
        <f>SUM(X39+X43)</f>
        <v>9282</v>
      </c>
      <c r="Y44" s="119">
        <f t="shared" si="12"/>
        <v>1608997</v>
      </c>
      <c r="Z44" s="145">
        <f t="shared" si="14"/>
        <v>1463889</v>
      </c>
      <c r="AA44" s="145">
        <f t="shared" si="13"/>
        <v>145108</v>
      </c>
    </row>
    <row r="45" spans="3:27" ht="18.75" customHeight="1">
      <c r="C45" s="32" t="s">
        <v>26</v>
      </c>
      <c r="E45" s="40"/>
      <c r="F45" s="40"/>
      <c r="G45" s="40"/>
      <c r="H45" s="40"/>
      <c r="I45" s="40"/>
      <c r="J45" s="40"/>
      <c r="K45" s="40"/>
      <c r="L45" s="40"/>
      <c r="M45" s="34"/>
      <c r="N45" s="40"/>
      <c r="O45" s="34"/>
      <c r="P45" s="34"/>
      <c r="Q45" s="34"/>
      <c r="S45" s="214"/>
      <c r="T45" s="119"/>
      <c r="U45" s="119"/>
      <c r="V45" s="241"/>
      <c r="W45" s="71"/>
      <c r="X45" s="71"/>
      <c r="Y45" s="214"/>
      <c r="Z45" s="119"/>
      <c r="AA45" s="119"/>
    </row>
    <row r="46" spans="2:27" ht="15">
      <c r="B46" s="23">
        <v>18</v>
      </c>
      <c r="C46" s="26" t="s">
        <v>0</v>
      </c>
      <c r="D46" s="61" t="s">
        <v>57</v>
      </c>
      <c r="E46" s="40">
        <v>25377</v>
      </c>
      <c r="F46" s="40">
        <v>11767</v>
      </c>
      <c r="G46" s="40"/>
      <c r="H46" s="40"/>
      <c r="I46" s="40"/>
      <c r="J46" s="40"/>
      <c r="K46" s="40"/>
      <c r="L46" s="40"/>
      <c r="M46" s="34">
        <f>SUM(E46:L46)</f>
        <v>37144</v>
      </c>
      <c r="N46" s="12">
        <f>$M$46*N8</f>
        <v>35192.45424</v>
      </c>
      <c r="O46" s="12">
        <f>$M$46*O8</f>
        <v>1951.545760000001</v>
      </c>
      <c r="P46" s="12"/>
      <c r="Q46" s="34"/>
      <c r="S46" s="119">
        <f t="shared" si="9"/>
        <v>37144</v>
      </c>
      <c r="T46" s="119">
        <f t="shared" si="10"/>
        <v>35192.45424</v>
      </c>
      <c r="U46" s="119">
        <f t="shared" si="11"/>
        <v>1951.545760000001</v>
      </c>
      <c r="V46" s="241"/>
      <c r="W46" s="71"/>
      <c r="X46" s="71"/>
      <c r="Y46" s="119">
        <f aca="true" t="shared" si="18" ref="Y46:AA47">+S46+V46</f>
        <v>37144</v>
      </c>
      <c r="Z46" s="119">
        <f t="shared" si="18"/>
        <v>35192.45424</v>
      </c>
      <c r="AA46" s="119">
        <f t="shared" si="18"/>
        <v>1951.545760000001</v>
      </c>
    </row>
    <row r="47" spans="2:27" ht="15">
      <c r="B47" s="52" t="s">
        <v>94</v>
      </c>
      <c r="C47" s="26" t="s">
        <v>30</v>
      </c>
      <c r="D47" s="61" t="s">
        <v>58</v>
      </c>
      <c r="E47" s="40"/>
      <c r="F47" s="40">
        <v>37315</v>
      </c>
      <c r="G47" s="40">
        <v>54702</v>
      </c>
      <c r="H47" s="40">
        <f>37107+32326</f>
        <v>69433</v>
      </c>
      <c r="I47" s="40">
        <v>62317</v>
      </c>
      <c r="J47" s="40">
        <f>17652+34115</f>
        <v>51767</v>
      </c>
      <c r="K47" s="40">
        <v>96309</v>
      </c>
      <c r="L47" s="40">
        <v>120560</v>
      </c>
      <c r="M47" s="34">
        <f>SUM(E47:L47)</f>
        <v>492403</v>
      </c>
      <c r="N47" s="12">
        <f>M47-O47</f>
        <v>474029</v>
      </c>
      <c r="O47" s="34">
        <v>18374</v>
      </c>
      <c r="P47" s="34">
        <f>SUM(Q47:R47)</f>
        <v>130316</v>
      </c>
      <c r="Q47" s="34">
        <f>130316*$Q$8-7497</f>
        <v>115972.19735999999</v>
      </c>
      <c r="R47" s="34">
        <f>130316*$R$8+7497</f>
        <v>14343.802640000005</v>
      </c>
      <c r="S47" s="119">
        <f t="shared" si="9"/>
        <v>622719</v>
      </c>
      <c r="T47" s="119">
        <f t="shared" si="10"/>
        <v>590001.19736</v>
      </c>
      <c r="U47" s="119">
        <f t="shared" si="11"/>
        <v>32717.802640000005</v>
      </c>
      <c r="V47" s="71">
        <v>137534</v>
      </c>
      <c r="W47" s="71">
        <f>V47-X47</f>
        <v>130258</v>
      </c>
      <c r="X47" s="71">
        <v>7276</v>
      </c>
      <c r="Y47" s="119">
        <f t="shared" si="18"/>
        <v>760253</v>
      </c>
      <c r="Z47" s="119">
        <f t="shared" si="18"/>
        <v>720259.19736</v>
      </c>
      <c r="AA47" s="119">
        <f t="shared" si="18"/>
        <v>39993.80264000001</v>
      </c>
    </row>
    <row r="48" spans="2:27" ht="15">
      <c r="B48" s="52" t="s">
        <v>95</v>
      </c>
      <c r="C48" s="6" t="s">
        <v>98</v>
      </c>
      <c r="E48" s="40"/>
      <c r="F48" s="40"/>
      <c r="G48" s="40"/>
      <c r="H48" s="40"/>
      <c r="I48" s="40"/>
      <c r="J48" s="40"/>
      <c r="K48" s="40"/>
      <c r="L48" s="40"/>
      <c r="M48" s="34"/>
      <c r="N48" s="12"/>
      <c r="O48" s="34"/>
      <c r="P48" s="34"/>
      <c r="Q48" s="34"/>
      <c r="R48" s="34"/>
      <c r="S48" s="119">
        <f t="shared" si="9"/>
        <v>0</v>
      </c>
      <c r="T48" s="119"/>
      <c r="U48" s="119"/>
      <c r="V48" s="241"/>
      <c r="W48" s="71"/>
      <c r="X48" s="71"/>
      <c r="Y48" s="119">
        <f>+S48+V48</f>
        <v>0</v>
      </c>
      <c r="Z48" s="119"/>
      <c r="AA48" s="119"/>
    </row>
    <row r="49" spans="2:27" ht="18" customHeight="1">
      <c r="B49" s="89">
        <v>21</v>
      </c>
      <c r="C49" s="102" t="s">
        <v>70</v>
      </c>
      <c r="D49" s="65">
        <v>477361</v>
      </c>
      <c r="E49" s="103">
        <v>163</v>
      </c>
      <c r="F49" s="103">
        <v>687</v>
      </c>
      <c r="G49" s="103">
        <v>492</v>
      </c>
      <c r="H49" s="49">
        <v>804</v>
      </c>
      <c r="I49" s="49"/>
      <c r="J49" s="49">
        <v>47</v>
      </c>
      <c r="K49" s="49">
        <v>193</v>
      </c>
      <c r="L49" s="49">
        <v>538</v>
      </c>
      <c r="M49" s="34">
        <f>SUM(E49:L49)</f>
        <v>2924</v>
      </c>
      <c r="N49" s="12">
        <f>$M$49*N8</f>
        <v>2770.37304</v>
      </c>
      <c r="O49" s="12">
        <f>$M$49*O8</f>
        <v>153.62696000000008</v>
      </c>
      <c r="P49" s="12">
        <v>260</v>
      </c>
      <c r="Q49" s="34">
        <f>P49*$Q$8</f>
        <v>246.3396</v>
      </c>
      <c r="R49" s="34">
        <f>P49*$R$8</f>
        <v>13.660400000000008</v>
      </c>
      <c r="S49" s="119">
        <f t="shared" si="9"/>
        <v>3184</v>
      </c>
      <c r="T49" s="119">
        <f t="shared" si="10"/>
        <v>3016.7126399999997</v>
      </c>
      <c r="U49" s="119">
        <f t="shared" si="11"/>
        <v>167.2873600000001</v>
      </c>
      <c r="V49" s="71">
        <v>250</v>
      </c>
      <c r="W49" s="71">
        <f>V49*$Q$8</f>
        <v>236.86499999999998</v>
      </c>
      <c r="X49" s="71">
        <f>V49*$R$8</f>
        <v>13.135000000000009</v>
      </c>
      <c r="Y49" s="119">
        <f>+S49+V49</f>
        <v>3434</v>
      </c>
      <c r="Z49" s="119">
        <f>+T49+W49</f>
        <v>3253.5776399999995</v>
      </c>
      <c r="AA49" s="119">
        <f>+U49+X49</f>
        <v>180.4223600000001</v>
      </c>
    </row>
    <row r="50" spans="2:27" s="95" customFormat="1" ht="18" customHeight="1">
      <c r="B50" s="81" t="s">
        <v>96</v>
      </c>
      <c r="C50" s="42" t="s">
        <v>29</v>
      </c>
      <c r="D50" s="42"/>
      <c r="E50" s="43">
        <f aca="true" t="shared" si="19" ref="E50:R50">SUM(E46:E49)</f>
        <v>25540</v>
      </c>
      <c r="F50" s="43">
        <f t="shared" si="19"/>
        <v>49769</v>
      </c>
      <c r="G50" s="43">
        <f t="shared" si="19"/>
        <v>55194</v>
      </c>
      <c r="H50" s="43">
        <f t="shared" si="19"/>
        <v>70237</v>
      </c>
      <c r="I50" s="43">
        <f t="shared" si="19"/>
        <v>62317</v>
      </c>
      <c r="J50" s="43">
        <f t="shared" si="19"/>
        <v>51814</v>
      </c>
      <c r="K50" s="43">
        <f t="shared" si="19"/>
        <v>96502</v>
      </c>
      <c r="L50" s="43">
        <f t="shared" si="19"/>
        <v>121098</v>
      </c>
      <c r="M50" s="83">
        <f t="shared" si="19"/>
        <v>532471</v>
      </c>
      <c r="N50" s="83">
        <f t="shared" si="19"/>
        <v>511991.82727999997</v>
      </c>
      <c r="O50" s="83">
        <f t="shared" si="19"/>
        <v>20479.172720000002</v>
      </c>
      <c r="P50" s="83">
        <f t="shared" si="19"/>
        <v>130576</v>
      </c>
      <c r="Q50" s="83">
        <f t="shared" si="19"/>
        <v>116218.53696</v>
      </c>
      <c r="R50" s="83">
        <f t="shared" si="19"/>
        <v>14357.463040000006</v>
      </c>
      <c r="S50" s="121">
        <f t="shared" si="9"/>
        <v>663047</v>
      </c>
      <c r="T50" s="121">
        <f t="shared" si="10"/>
        <v>628210.36424</v>
      </c>
      <c r="U50" s="121">
        <f t="shared" si="11"/>
        <v>34836.635760000005</v>
      </c>
      <c r="V50" s="83">
        <f>SUM(V46:V49)</f>
        <v>137784</v>
      </c>
      <c r="W50" s="83">
        <f>SUM(W46:W49)</f>
        <v>130494.865</v>
      </c>
      <c r="X50" s="83">
        <f>SUM(X46:X49)</f>
        <v>7289.135</v>
      </c>
      <c r="Y50" s="121">
        <f>+S50+V50</f>
        <v>800831</v>
      </c>
      <c r="Z50" s="121">
        <f>+T50+W50</f>
        <v>758705.22924</v>
      </c>
      <c r="AA50" s="121">
        <f>+U50+X50</f>
        <v>42125.77076000001</v>
      </c>
    </row>
    <row r="51" spans="2:27" s="95" customFormat="1" ht="12" customHeight="1">
      <c r="B51" s="96"/>
      <c r="C51" s="42"/>
      <c r="D51" s="42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51"/>
      <c r="Q51" s="34"/>
      <c r="S51" s="121"/>
      <c r="T51" s="121"/>
      <c r="U51" s="121"/>
      <c r="V51" s="51"/>
      <c r="W51" s="34"/>
      <c r="Y51" s="121"/>
      <c r="Z51" s="121"/>
      <c r="AA51" s="121"/>
    </row>
    <row r="52" spans="2:27" s="134" customFormat="1" ht="18.75" customHeight="1" thickBot="1">
      <c r="B52" s="130" t="s">
        <v>35</v>
      </c>
      <c r="C52" s="131" t="s">
        <v>31</v>
      </c>
      <c r="D52" s="131"/>
      <c r="E52" s="132">
        <f aca="true" t="shared" si="20" ref="E52:R52">SUM(E44-E50)</f>
        <v>42890</v>
      </c>
      <c r="F52" s="132">
        <f t="shared" si="20"/>
        <v>180704</v>
      </c>
      <c r="G52" s="132">
        <f t="shared" si="20"/>
        <v>137481</v>
      </c>
      <c r="H52" s="132">
        <f t="shared" si="20"/>
        <v>45587</v>
      </c>
      <c r="I52" s="132">
        <f t="shared" si="20"/>
        <v>88628</v>
      </c>
      <c r="J52" s="132">
        <f t="shared" si="20"/>
        <v>35775</v>
      </c>
      <c r="K52" s="132">
        <f t="shared" si="20"/>
        <v>97107</v>
      </c>
      <c r="L52" s="132">
        <f t="shared" si="20"/>
        <v>86375</v>
      </c>
      <c r="M52" s="133">
        <f>SUM(M44-M50)</f>
        <v>714547</v>
      </c>
      <c r="N52" s="133">
        <f t="shared" si="20"/>
        <v>615601.17272</v>
      </c>
      <c r="O52" s="133">
        <f t="shared" si="20"/>
        <v>98945.82728</v>
      </c>
      <c r="P52" s="133">
        <f t="shared" si="20"/>
        <v>18572</v>
      </c>
      <c r="Q52" s="133">
        <f t="shared" si="20"/>
        <v>16528.463040000002</v>
      </c>
      <c r="R52" s="133">
        <f t="shared" si="20"/>
        <v>2043.536959999994</v>
      </c>
      <c r="S52" s="133">
        <f t="shared" si="9"/>
        <v>733119</v>
      </c>
      <c r="T52" s="135">
        <f t="shared" si="10"/>
        <v>632129.63576</v>
      </c>
      <c r="U52" s="135">
        <f t="shared" si="11"/>
        <v>100989.36424</v>
      </c>
      <c r="V52" s="133">
        <f>SUM(V44-V50)</f>
        <v>75047</v>
      </c>
      <c r="W52" s="133">
        <f>SUM(W44-W50)</f>
        <v>73054.135</v>
      </c>
      <c r="X52" s="133">
        <f>SUM(X44-X50)</f>
        <v>1992.8649999999998</v>
      </c>
      <c r="Y52" s="133">
        <f>+S52+V52</f>
        <v>808166</v>
      </c>
      <c r="Z52" s="135">
        <f>+T52+W52</f>
        <v>705183.77076</v>
      </c>
      <c r="AA52" s="135">
        <f>+U52+X52</f>
        <v>102982.22924</v>
      </c>
    </row>
    <row r="53" spans="2:27" s="102" customFormat="1" ht="15.75" thickTop="1">
      <c r="B53" s="89"/>
      <c r="D53" s="109"/>
      <c r="E53" s="109"/>
      <c r="F53" s="109"/>
      <c r="G53" s="109"/>
      <c r="H53" s="109"/>
      <c r="I53" s="109"/>
      <c r="J53" s="109"/>
      <c r="K53" s="109"/>
      <c r="L53" s="109"/>
      <c r="M53" s="110"/>
      <c r="N53" s="109"/>
      <c r="O53" s="110"/>
      <c r="P53" s="110"/>
      <c r="Q53" s="34"/>
      <c r="S53" s="128"/>
      <c r="T53" s="128"/>
      <c r="U53" s="128"/>
      <c r="V53" s="110"/>
      <c r="W53" s="34"/>
      <c r="Y53" s="128"/>
      <c r="Z53" s="128"/>
      <c r="AA53" s="128"/>
    </row>
    <row r="54" spans="2:27" s="104" customFormat="1" ht="24" customHeight="1" thickBot="1">
      <c r="B54" s="105" t="s">
        <v>90</v>
      </c>
      <c r="C54" s="105" t="s">
        <v>37</v>
      </c>
      <c r="D54" s="106"/>
      <c r="E54" s="107">
        <f>SUM(E28+E52)</f>
        <v>1495055</v>
      </c>
      <c r="F54" s="107">
        <f aca="true" t="shared" si="21" ref="F54:L54">SUM(E54+F28+F52)</f>
        <v>688383</v>
      </c>
      <c r="G54" s="107">
        <f t="shared" si="21"/>
        <v>403363</v>
      </c>
      <c r="H54" s="108">
        <f t="shared" si="21"/>
        <v>401488</v>
      </c>
      <c r="I54" s="108">
        <f t="shared" si="21"/>
        <v>490116</v>
      </c>
      <c r="J54" s="108">
        <f t="shared" si="21"/>
        <v>525891</v>
      </c>
      <c r="K54" s="108">
        <f t="shared" si="21"/>
        <v>622998</v>
      </c>
      <c r="L54" s="108">
        <f t="shared" si="21"/>
        <v>709373</v>
      </c>
      <c r="M54" s="108">
        <f aca="true" t="shared" si="22" ref="M54:U54">SUM(M28+M52)</f>
        <v>709373</v>
      </c>
      <c r="N54" s="108">
        <f t="shared" si="22"/>
        <v>610427.17272</v>
      </c>
      <c r="O54" s="108">
        <f t="shared" si="22"/>
        <v>98945.82728</v>
      </c>
      <c r="P54" s="108">
        <f t="shared" si="22"/>
        <v>18572</v>
      </c>
      <c r="Q54" s="108">
        <f t="shared" si="22"/>
        <v>16528.463040000002</v>
      </c>
      <c r="R54" s="108">
        <f t="shared" si="22"/>
        <v>2043.536959999994</v>
      </c>
      <c r="S54" s="108">
        <f t="shared" si="9"/>
        <v>727945</v>
      </c>
      <c r="T54" s="108">
        <f t="shared" si="22"/>
        <v>626955.63576</v>
      </c>
      <c r="U54" s="108">
        <f t="shared" si="22"/>
        <v>100989.36424</v>
      </c>
      <c r="V54" s="108">
        <f>SUM(V28+V52)</f>
        <v>75047</v>
      </c>
      <c r="W54" s="108">
        <f>SUM(W28+W52)</f>
        <v>73054.135</v>
      </c>
      <c r="X54" s="108">
        <f>SUM(X28+X52)</f>
        <v>1992.8649999999998</v>
      </c>
      <c r="Y54" s="108">
        <f>+S54+V54</f>
        <v>802992</v>
      </c>
      <c r="Z54" s="108">
        <f>SUM(Z28+Z52)</f>
        <v>700009.77076</v>
      </c>
      <c r="AA54" s="108">
        <f>SUM(AA28+AA52)</f>
        <v>102982.22924</v>
      </c>
    </row>
    <row r="55" spans="2:27" s="113" customFormat="1" ht="15.75" thickTop="1">
      <c r="B55" s="111" t="s">
        <v>87</v>
      </c>
      <c r="C55" s="112" t="s">
        <v>51</v>
      </c>
      <c r="E55" s="114"/>
      <c r="F55" s="114"/>
      <c r="G55" s="114"/>
      <c r="H55" s="115"/>
      <c r="I55" s="116">
        <v>350155</v>
      </c>
      <c r="J55" s="84">
        <v>567782</v>
      </c>
      <c r="K55" s="84">
        <v>844000</v>
      </c>
      <c r="L55" s="84">
        <f>844000+190000</f>
        <v>1034000</v>
      </c>
      <c r="M55" s="115">
        <f>844000+190000</f>
        <v>1034000</v>
      </c>
      <c r="N55" s="84">
        <f>M55*N8</f>
        <v>979673.64</v>
      </c>
      <c r="O55" s="84">
        <f>+M55-N55</f>
        <v>54326.359999999986</v>
      </c>
      <c r="P55" s="34">
        <v>190000</v>
      </c>
      <c r="Q55" s="34">
        <f>P55*$Q$8</f>
        <v>180017.4</v>
      </c>
      <c r="R55" s="34">
        <f>P55*$R$8</f>
        <v>9982.600000000006</v>
      </c>
      <c r="S55" s="119">
        <f t="shared" si="9"/>
        <v>1224000</v>
      </c>
      <c r="T55" s="129">
        <f t="shared" si="10"/>
        <v>1159691.04</v>
      </c>
      <c r="U55" s="129">
        <f t="shared" si="11"/>
        <v>64308.95999999999</v>
      </c>
      <c r="V55" s="34">
        <v>99381</v>
      </c>
      <c r="W55" s="34">
        <f>V55*$Q$8</f>
        <v>94159.52226</v>
      </c>
      <c r="X55" s="34">
        <f>V55*$R$8</f>
        <v>5221.477740000003</v>
      </c>
      <c r="Y55" s="119">
        <f>+S55+V55</f>
        <v>1323381</v>
      </c>
      <c r="Z55" s="129">
        <f>+T55+W55</f>
        <v>1253850.56226</v>
      </c>
      <c r="AA55" s="129">
        <f>+U55+X55</f>
        <v>69530.43774</v>
      </c>
    </row>
    <row r="56" spans="2:27" s="140" customFormat="1" ht="15">
      <c r="B56" s="136" t="s">
        <v>88</v>
      </c>
      <c r="C56" s="137" t="s">
        <v>50</v>
      </c>
      <c r="D56" s="138"/>
      <c r="E56" s="139">
        <f aca="true" t="shared" si="23" ref="E56:Q56">SUM(E54-E55)</f>
        <v>1495055</v>
      </c>
      <c r="F56" s="139">
        <f t="shared" si="23"/>
        <v>688383</v>
      </c>
      <c r="G56" s="139">
        <f t="shared" si="23"/>
        <v>403363</v>
      </c>
      <c r="H56" s="139">
        <f t="shared" si="23"/>
        <v>401488</v>
      </c>
      <c r="I56" s="139">
        <f t="shared" si="23"/>
        <v>139961</v>
      </c>
      <c r="J56" s="139">
        <f t="shared" si="23"/>
        <v>-41891</v>
      </c>
      <c r="K56" s="139">
        <f t="shared" si="23"/>
        <v>-221002</v>
      </c>
      <c r="L56" s="139">
        <f t="shared" si="23"/>
        <v>-324627</v>
      </c>
      <c r="M56" s="139">
        <f>SUM(M54-M55)</f>
        <v>-324627</v>
      </c>
      <c r="N56" s="139">
        <f t="shared" si="23"/>
        <v>-369246.46728</v>
      </c>
      <c r="O56" s="139">
        <f t="shared" si="23"/>
        <v>44619.46728000001</v>
      </c>
      <c r="P56" s="146">
        <f>SUM(P54-P55)</f>
        <v>-171428</v>
      </c>
      <c r="Q56" s="146">
        <f t="shared" si="23"/>
        <v>-163488.93696</v>
      </c>
      <c r="R56" s="146">
        <f>SUM(R54-R55)</f>
        <v>-7939.063040000012</v>
      </c>
      <c r="S56" s="146">
        <f t="shared" si="9"/>
        <v>-496055</v>
      </c>
      <c r="T56" s="127">
        <f t="shared" si="10"/>
        <v>-532735.40424</v>
      </c>
      <c r="U56" s="127">
        <f t="shared" si="11"/>
        <v>36680.40424</v>
      </c>
      <c r="V56" s="146">
        <f>SUM(V54-V55)</f>
        <v>-24334</v>
      </c>
      <c r="W56" s="146">
        <f>SUM(W54-W55)</f>
        <v>-21105.387260000003</v>
      </c>
      <c r="X56" s="146">
        <f>SUM(X54-X55)</f>
        <v>-3228.612740000003</v>
      </c>
      <c r="Y56" s="146">
        <f>+S56+V56</f>
        <v>-520389</v>
      </c>
      <c r="Z56" s="127">
        <f>+T56+W56</f>
        <v>-553840.7914999999</v>
      </c>
      <c r="AA56" s="127">
        <f>+U56+X56</f>
        <v>33451.7915</v>
      </c>
    </row>
    <row r="57" spans="2:27" ht="15">
      <c r="B57" s="27"/>
      <c r="C57" s="27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S57" s="119"/>
      <c r="T57" s="213"/>
      <c r="U57" s="213"/>
      <c r="Y57" s="119"/>
      <c r="Z57" s="213"/>
      <c r="AA57" s="213"/>
    </row>
    <row r="58" spans="2:27" ht="15">
      <c r="B58" s="21"/>
      <c r="D58" s="68"/>
      <c r="Q58" s="34"/>
      <c r="S58" s="119"/>
      <c r="T58" s="213"/>
      <c r="U58" s="213"/>
      <c r="Y58" s="119"/>
      <c r="Z58" s="213"/>
      <c r="AA58" s="213"/>
    </row>
    <row r="59" spans="2:27" ht="15">
      <c r="B59" s="22"/>
      <c r="C59" s="5" t="s">
        <v>86</v>
      </c>
      <c r="E59" s="40"/>
      <c r="F59" s="40"/>
      <c r="G59" s="53"/>
      <c r="H59" s="53"/>
      <c r="I59" s="53"/>
      <c r="M59" s="34">
        <f>D2*(L2-E2)/1000</f>
        <v>1052000</v>
      </c>
      <c r="N59" s="51">
        <f>M59*N8</f>
        <v>996727.9199999999</v>
      </c>
      <c r="O59" s="51">
        <f>M59*O8</f>
        <v>55272.08000000003</v>
      </c>
      <c r="P59" s="51">
        <f>$D$2*(P2-L2)/1000</f>
        <v>13499.9999999998</v>
      </c>
      <c r="Q59" s="34">
        <f>P59*$Q$8</f>
        <v>12790.70999999981</v>
      </c>
      <c r="R59" s="34">
        <f>P59*$R$8</f>
        <v>709.28999999999</v>
      </c>
      <c r="S59" s="119">
        <f t="shared" si="9"/>
        <v>1065499.9999999998</v>
      </c>
      <c r="T59" s="213">
        <f t="shared" si="10"/>
        <v>1009518.6299999998</v>
      </c>
      <c r="U59" s="213">
        <f t="shared" si="11"/>
        <v>55981.370000000024</v>
      </c>
      <c r="V59" s="51">
        <f>$D$2*(V2-P2)/1000</f>
        <v>246375.00000000044</v>
      </c>
      <c r="W59" s="34">
        <f>V59*$Q$8</f>
        <v>233430.4575000004</v>
      </c>
      <c r="X59" s="34">
        <f>V59*$R$8</f>
        <v>12944.54250000003</v>
      </c>
      <c r="Y59" s="119">
        <f>+S59+V59</f>
        <v>1311875.0000000002</v>
      </c>
      <c r="Z59" s="213">
        <f>+T59+W59</f>
        <v>1242949.0875000001</v>
      </c>
      <c r="AA59" s="213">
        <f>+U59+X59</f>
        <v>68925.91250000005</v>
      </c>
    </row>
    <row r="60" spans="7:16" ht="15">
      <c r="G60" s="40"/>
      <c r="H60" s="40"/>
      <c r="I60" s="40"/>
      <c r="J60" s="40"/>
      <c r="K60" s="40"/>
      <c r="L60" s="40"/>
      <c r="M60" s="71"/>
      <c r="N60" s="40"/>
      <c r="O60" s="71"/>
      <c r="P60" s="71"/>
    </row>
    <row r="61" spans="3:27" ht="15">
      <c r="C61" s="5" t="s">
        <v>102</v>
      </c>
      <c r="N61" s="220">
        <f>N54/M55</f>
        <v>0.5903550993423597</v>
      </c>
      <c r="O61" s="220">
        <f>1-N61</f>
        <v>0.40964490065764025</v>
      </c>
      <c r="T61" s="220">
        <f>T54/S55</f>
        <v>0.5122186566666667</v>
      </c>
      <c r="U61" s="220">
        <f>1-T61</f>
        <v>0.48778134333333334</v>
      </c>
      <c r="Z61" s="220">
        <f>Z54/Y55</f>
        <v>0.5289555847937971</v>
      </c>
      <c r="AA61" s="220">
        <f>1-Z61</f>
        <v>0.4710444152062029</v>
      </c>
    </row>
    <row r="62" spans="5:16" ht="15">
      <c r="E62" s="40"/>
      <c r="F62" s="40"/>
      <c r="G62" s="40"/>
      <c r="H62" s="40"/>
      <c r="I62" s="40"/>
      <c r="J62" s="40"/>
      <c r="K62" s="40"/>
      <c r="L62" s="40"/>
      <c r="M62" s="34"/>
      <c r="N62" s="40"/>
      <c r="O62" s="34"/>
      <c r="P62" s="34"/>
    </row>
    <row r="63" spans="3:16" ht="15">
      <c r="C63" s="69"/>
      <c r="D63" s="221"/>
      <c r="E63" s="222"/>
      <c r="F63" s="222"/>
      <c r="G63" s="12" t="s">
        <v>100</v>
      </c>
      <c r="H63" s="12">
        <f>SUM(E22:H22)</f>
        <v>1920946</v>
      </c>
      <c r="I63" s="78">
        <f>H63/(H63+H64)</f>
        <v>0.9474577725780947</v>
      </c>
      <c r="J63" s="34"/>
      <c r="K63" s="34"/>
      <c r="L63" s="34"/>
      <c r="M63" s="34"/>
      <c r="N63" s="34"/>
      <c r="O63" s="34"/>
      <c r="P63" s="34"/>
    </row>
    <row r="64" spans="3:20" ht="15">
      <c r="C64" s="243" t="s">
        <v>105</v>
      </c>
      <c r="D64" s="221"/>
      <c r="E64" s="223"/>
      <c r="F64" s="224"/>
      <c r="G64" s="12" t="s">
        <v>85</v>
      </c>
      <c r="H64" s="12">
        <f>SUM(E25:I25)</f>
        <v>106528</v>
      </c>
      <c r="I64" s="79">
        <f>H64/(H64+H63)</f>
        <v>0.052542227421905285</v>
      </c>
      <c r="J64" s="13"/>
      <c r="K64" s="13"/>
      <c r="L64" s="13"/>
      <c r="M64" s="12"/>
      <c r="N64" s="13"/>
      <c r="O64" s="12"/>
      <c r="P64" s="12"/>
      <c r="Q64" s="6"/>
      <c r="R64" s="6"/>
      <c r="S64" s="6"/>
      <c r="T64" s="6"/>
    </row>
    <row r="65" spans="3:16" ht="15.75">
      <c r="C65"/>
      <c r="D65" s="225"/>
      <c r="E65" s="226"/>
      <c r="F65" s="227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3:19" ht="15">
      <c r="C66" s="244" t="s">
        <v>106</v>
      </c>
      <c r="D66" s="228"/>
      <c r="E66" s="222"/>
      <c r="F66" s="224"/>
      <c r="G66" s="40"/>
      <c r="H66" s="40"/>
      <c r="I66" s="40"/>
      <c r="J66" s="40"/>
      <c r="K66" s="40"/>
      <c r="L66" s="40"/>
      <c r="M66" s="34"/>
      <c r="N66" s="40"/>
      <c r="O66" s="34"/>
      <c r="P66" s="34"/>
      <c r="S66" s="245">
        <f>Z22</f>
        <v>1920946</v>
      </c>
    </row>
    <row r="67" spans="3:19" ht="15.75">
      <c r="C67" s="244" t="s">
        <v>31</v>
      </c>
      <c r="D67" s="228"/>
      <c r="E67" s="229"/>
      <c r="F67" s="230"/>
      <c r="G67" s="40"/>
      <c r="S67" s="245">
        <f>Z52</f>
        <v>705183.77076</v>
      </c>
    </row>
    <row r="68" spans="3:20" ht="15.75">
      <c r="C68" s="243" t="s">
        <v>108</v>
      </c>
      <c r="D68" s="228"/>
      <c r="E68" s="229"/>
      <c r="F68" s="230"/>
      <c r="S68" s="247">
        <f>Z59</f>
        <v>1242949.0875000001</v>
      </c>
      <c r="T68" s="246"/>
    </row>
    <row r="69" spans="3:19" ht="15">
      <c r="C69" s="244" t="s">
        <v>107</v>
      </c>
      <c r="D69" s="228"/>
      <c r="E69" s="231"/>
      <c r="F69" s="232"/>
      <c r="G69" s="54"/>
      <c r="M69" s="34"/>
      <c r="O69" s="34"/>
      <c r="P69" s="34"/>
      <c r="S69" s="245">
        <f>+S66-S67+S68</f>
        <v>2458711.31674</v>
      </c>
    </row>
    <row r="70" spans="3:14" ht="15">
      <c r="C70" s="69"/>
      <c r="D70" s="233"/>
      <c r="E70" s="234"/>
      <c r="F70" s="235"/>
      <c r="G70" s="24"/>
      <c r="H70" s="24"/>
      <c r="I70" s="24"/>
      <c r="J70" s="24"/>
      <c r="K70" s="24"/>
      <c r="L70" s="24"/>
      <c r="N70" s="24"/>
    </row>
    <row r="71" spans="3:16" ht="15">
      <c r="C71" s="3"/>
      <c r="D71" s="65"/>
      <c r="E71" s="236"/>
      <c r="F71" s="236"/>
      <c r="G71" s="24"/>
      <c r="H71" s="24"/>
      <c r="I71" s="24"/>
      <c r="J71" s="24"/>
      <c r="K71" s="24"/>
      <c r="L71" s="24"/>
      <c r="M71" s="55"/>
      <c r="N71" s="24"/>
      <c r="O71" s="55"/>
      <c r="P71" s="55"/>
    </row>
    <row r="72" spans="4:16" ht="15">
      <c r="D72" s="65"/>
      <c r="E72" s="237"/>
      <c r="F72" s="238"/>
      <c r="G72" s="56"/>
      <c r="H72" s="56"/>
      <c r="I72" s="56"/>
      <c r="J72" s="56"/>
      <c r="K72" s="56"/>
      <c r="L72" s="56"/>
      <c r="M72" s="55"/>
      <c r="N72" s="56"/>
      <c r="O72" s="55"/>
      <c r="P72" s="55"/>
    </row>
    <row r="73" spans="2:14" ht="15">
      <c r="B73" s="252"/>
      <c r="C73" s="253"/>
      <c r="D73" s="102"/>
      <c r="E73" s="109"/>
      <c r="F73" s="102"/>
      <c r="I73" s="4"/>
      <c r="J73" s="2"/>
      <c r="K73" s="2"/>
      <c r="L73" s="2"/>
      <c r="N73" s="2"/>
    </row>
    <row r="74" spans="4:14" ht="15.75">
      <c r="D74" s="65"/>
      <c r="E74" s="109"/>
      <c r="F74" s="109"/>
      <c r="I74" s="254"/>
      <c r="J74" s="254"/>
      <c r="K74" s="254"/>
      <c r="L74" s="254"/>
      <c r="N74" s="1"/>
    </row>
    <row r="75" spans="4:17" ht="15.75">
      <c r="D75" s="65"/>
      <c r="E75" s="109"/>
      <c r="F75" s="109"/>
      <c r="I75" s="255"/>
      <c r="J75" s="255"/>
      <c r="K75" s="255"/>
      <c r="L75" s="255"/>
      <c r="M75" s="1"/>
      <c r="N75" s="72"/>
      <c r="O75" s="1"/>
      <c r="P75" s="1"/>
      <c r="Q75" s="1"/>
    </row>
    <row r="76" spans="4:6" ht="15">
      <c r="D76" s="65"/>
      <c r="E76" s="109"/>
      <c r="F76" s="109"/>
    </row>
    <row r="77" spans="4:6" ht="15">
      <c r="D77" s="65"/>
      <c r="E77" s="109"/>
      <c r="F77" s="109"/>
    </row>
    <row r="78" spans="4:6" ht="15">
      <c r="D78" s="65"/>
      <c r="E78" s="109"/>
      <c r="F78" s="109"/>
    </row>
    <row r="79" spans="4:6" ht="15">
      <c r="D79" s="65"/>
      <c r="E79" s="109"/>
      <c r="F79" s="109"/>
    </row>
    <row r="80" spans="4:6" ht="15">
      <c r="D80" s="65"/>
      <c r="E80" s="109"/>
      <c r="F80" s="109"/>
    </row>
    <row r="81" spans="4:6" ht="15">
      <c r="D81" s="65"/>
      <c r="E81" s="109"/>
      <c r="F81" s="109"/>
    </row>
    <row r="82" spans="4:6" ht="15">
      <c r="D82" s="65"/>
      <c r="E82" s="109"/>
      <c r="F82" s="109"/>
    </row>
    <row r="83" spans="4:6" ht="15">
      <c r="D83" s="65"/>
      <c r="E83" s="109"/>
      <c r="F83" s="109"/>
    </row>
    <row r="84" spans="4:6" ht="15">
      <c r="D84" s="65"/>
      <c r="E84" s="109"/>
      <c r="F84" s="109"/>
    </row>
    <row r="85" spans="4:6" ht="15">
      <c r="D85" s="65"/>
      <c r="E85" s="109"/>
      <c r="F85" s="109"/>
    </row>
    <row r="86" spans="4:6" ht="15">
      <c r="D86" s="65"/>
      <c r="E86" s="109"/>
      <c r="F86" s="109"/>
    </row>
    <row r="87" spans="4:6" ht="15">
      <c r="D87" s="65"/>
      <c r="E87" s="109"/>
      <c r="F87" s="109"/>
    </row>
    <row r="88" spans="4:6" ht="15">
      <c r="D88" s="65"/>
      <c r="E88" s="109"/>
      <c r="F88" s="109"/>
    </row>
    <row r="89" spans="4:6" ht="15">
      <c r="D89" s="65"/>
      <c r="E89" s="109"/>
      <c r="F89" s="109"/>
    </row>
    <row r="90" spans="4:6" ht="15">
      <c r="D90" s="65"/>
      <c r="E90" s="109"/>
      <c r="F90" s="109"/>
    </row>
    <row r="91" spans="4:6" ht="15">
      <c r="D91" s="65"/>
      <c r="E91" s="109"/>
      <c r="F91" s="109"/>
    </row>
    <row r="92" spans="4:6" ht="15">
      <c r="D92" s="65"/>
      <c r="E92" s="109"/>
      <c r="F92" s="109"/>
    </row>
    <row r="93" spans="4:6" ht="15">
      <c r="D93" s="65"/>
      <c r="E93" s="109"/>
      <c r="F93" s="109"/>
    </row>
    <row r="94" spans="4:6" ht="15">
      <c r="D94" s="65"/>
      <c r="E94" s="109"/>
      <c r="F94" s="109"/>
    </row>
    <row r="95" spans="4:6" ht="15">
      <c r="D95" s="65"/>
      <c r="E95" s="109"/>
      <c r="F95" s="109"/>
    </row>
    <row r="96" spans="4:6" ht="15">
      <c r="D96" s="65"/>
      <c r="E96" s="109"/>
      <c r="F96" s="109"/>
    </row>
    <row r="97" spans="4:6" ht="15">
      <c r="D97" s="65"/>
      <c r="E97" s="109"/>
      <c r="F97" s="109"/>
    </row>
    <row r="98" spans="4:6" ht="15">
      <c r="D98" s="65"/>
      <c r="E98" s="109"/>
      <c r="F98" s="109"/>
    </row>
    <row r="99" spans="4:6" ht="15">
      <c r="D99" s="65"/>
      <c r="E99" s="109"/>
      <c r="F99" s="109"/>
    </row>
    <row r="100" spans="4:6" ht="15">
      <c r="D100" s="65"/>
      <c r="E100" s="109"/>
      <c r="F100" s="109"/>
    </row>
    <row r="101" spans="4:6" ht="15">
      <c r="D101" s="65"/>
      <c r="E101" s="109"/>
      <c r="F101" s="109"/>
    </row>
    <row r="102" spans="4:6" ht="15">
      <c r="D102" s="65"/>
      <c r="E102" s="109"/>
      <c r="F102" s="109"/>
    </row>
    <row r="103" spans="4:6" ht="15">
      <c r="D103" s="65"/>
      <c r="E103" s="109"/>
      <c r="F103" s="109"/>
    </row>
    <row r="104" spans="4:6" ht="15">
      <c r="D104" s="65"/>
      <c r="E104" s="109"/>
      <c r="F104" s="109"/>
    </row>
    <row r="105" spans="4:6" ht="15">
      <c r="D105" s="65"/>
      <c r="E105" s="109"/>
      <c r="F105" s="109"/>
    </row>
    <row r="106" spans="4:6" ht="15">
      <c r="D106" s="65"/>
      <c r="E106" s="109"/>
      <c r="F106" s="109"/>
    </row>
    <row r="107" spans="4:6" ht="15">
      <c r="D107" s="65"/>
      <c r="E107" s="109"/>
      <c r="F107" s="109"/>
    </row>
    <row r="108" spans="4:6" ht="15">
      <c r="D108" s="65"/>
      <c r="E108" s="109"/>
      <c r="F108" s="109"/>
    </row>
    <row r="109" spans="4:6" ht="15">
      <c r="D109" s="65"/>
      <c r="E109" s="109"/>
      <c r="F109" s="109"/>
    </row>
    <row r="110" spans="4:6" ht="15">
      <c r="D110" s="65"/>
      <c r="E110" s="109"/>
      <c r="F110" s="109"/>
    </row>
    <row r="111" spans="4:6" ht="15">
      <c r="D111" s="65"/>
      <c r="E111" s="109"/>
      <c r="F111" s="109"/>
    </row>
    <row r="112" spans="4:6" ht="15">
      <c r="D112" s="65"/>
      <c r="E112" s="109"/>
      <c r="F112" s="109"/>
    </row>
    <row r="113" spans="4:6" ht="15">
      <c r="D113" s="65"/>
      <c r="E113" s="109"/>
      <c r="F113" s="109"/>
    </row>
    <row r="114" spans="4:6" ht="15">
      <c r="D114" s="65"/>
      <c r="E114" s="109"/>
      <c r="F114" s="109"/>
    </row>
    <row r="115" spans="4:6" ht="15">
      <c r="D115" s="65"/>
      <c r="E115" s="109"/>
      <c r="F115" s="109"/>
    </row>
    <row r="116" spans="4:6" ht="15">
      <c r="D116" s="65"/>
      <c r="E116" s="109"/>
      <c r="F116" s="109"/>
    </row>
    <row r="117" spans="4:6" ht="15">
      <c r="D117" s="65"/>
      <c r="E117" s="109"/>
      <c r="F117" s="109"/>
    </row>
    <row r="118" spans="4:6" ht="15">
      <c r="D118" s="65"/>
      <c r="E118" s="109"/>
      <c r="F118" s="109"/>
    </row>
    <row r="119" spans="4:6" ht="15">
      <c r="D119" s="65"/>
      <c r="E119" s="109"/>
      <c r="F119" s="109"/>
    </row>
    <row r="120" spans="4:6" ht="15">
      <c r="D120" s="65"/>
      <c r="E120" s="109"/>
      <c r="F120" s="109"/>
    </row>
    <row r="121" spans="4:6" ht="15">
      <c r="D121" s="65"/>
      <c r="E121" s="109"/>
      <c r="F121" s="109"/>
    </row>
    <row r="122" spans="4:6" ht="15">
      <c r="D122" s="65"/>
      <c r="E122" s="109"/>
      <c r="F122" s="109"/>
    </row>
    <row r="123" spans="4:6" ht="15">
      <c r="D123" s="65"/>
      <c r="E123" s="109"/>
      <c r="F123" s="109"/>
    </row>
    <row r="124" spans="4:6" ht="15">
      <c r="D124" s="65"/>
      <c r="E124" s="109"/>
      <c r="F124" s="109"/>
    </row>
    <row r="125" spans="4:6" ht="15">
      <c r="D125" s="65"/>
      <c r="E125" s="109"/>
      <c r="F125" s="109"/>
    </row>
    <row r="126" spans="4:6" ht="15">
      <c r="D126" s="65"/>
      <c r="E126" s="109"/>
      <c r="F126" s="109"/>
    </row>
    <row r="127" spans="4:6" ht="15">
      <c r="D127" s="65"/>
      <c r="E127" s="109"/>
      <c r="F127" s="109"/>
    </row>
    <row r="128" spans="4:6" ht="15">
      <c r="D128" s="65"/>
      <c r="E128" s="109"/>
      <c r="F128" s="109"/>
    </row>
    <row r="129" spans="4:6" ht="15">
      <c r="D129" s="65"/>
      <c r="E129" s="109"/>
      <c r="F129" s="109"/>
    </row>
    <row r="130" spans="4:6" ht="15">
      <c r="D130" s="65"/>
      <c r="E130" s="109"/>
      <c r="F130" s="109"/>
    </row>
    <row r="131" spans="4:6" ht="15">
      <c r="D131" s="65"/>
      <c r="E131" s="109"/>
      <c r="F131" s="109"/>
    </row>
    <row r="132" spans="4:6" ht="15">
      <c r="D132" s="65"/>
      <c r="E132" s="109"/>
      <c r="F132" s="109"/>
    </row>
    <row r="133" spans="4:6" ht="15">
      <c r="D133" s="65"/>
      <c r="E133" s="109"/>
      <c r="F133" s="109"/>
    </row>
    <row r="134" spans="4:6" ht="15">
      <c r="D134" s="65"/>
      <c r="E134" s="109"/>
      <c r="F134" s="109"/>
    </row>
    <row r="135" spans="4:6" ht="15">
      <c r="D135" s="65"/>
      <c r="E135" s="109"/>
      <c r="F135" s="109"/>
    </row>
    <row r="136" spans="4:6" ht="15">
      <c r="D136" s="65"/>
      <c r="E136" s="109"/>
      <c r="F136" s="109"/>
    </row>
    <row r="137" spans="4:6" ht="15">
      <c r="D137" s="65"/>
      <c r="E137" s="109"/>
      <c r="F137" s="109"/>
    </row>
    <row r="138" spans="4:6" ht="15">
      <c r="D138" s="65"/>
      <c r="E138" s="109"/>
      <c r="F138" s="109"/>
    </row>
    <row r="139" spans="4:6" ht="15">
      <c r="D139" s="65"/>
      <c r="E139" s="109"/>
      <c r="F139" s="109"/>
    </row>
    <row r="140" spans="4:6" ht="15">
      <c r="D140" s="65"/>
      <c r="E140" s="109"/>
      <c r="F140" s="109"/>
    </row>
    <row r="141" spans="4:6" ht="15">
      <c r="D141" s="65"/>
      <c r="E141" s="109"/>
      <c r="F141" s="109"/>
    </row>
    <row r="142" spans="4:6" ht="15">
      <c r="D142" s="65"/>
      <c r="E142" s="109"/>
      <c r="F142" s="109"/>
    </row>
    <row r="143" spans="4:6" ht="15">
      <c r="D143" s="65"/>
      <c r="E143" s="109"/>
      <c r="F143" s="109"/>
    </row>
    <row r="144" spans="4:6" ht="15">
      <c r="D144" s="65"/>
      <c r="E144" s="109"/>
      <c r="F144" s="109"/>
    </row>
    <row r="145" spans="4:6" ht="15">
      <c r="D145" s="65"/>
      <c r="E145" s="109"/>
      <c r="F145" s="109"/>
    </row>
    <row r="146" spans="4:6" ht="15">
      <c r="D146" s="65"/>
      <c r="E146" s="109"/>
      <c r="F146" s="109"/>
    </row>
    <row r="147" spans="4:6" ht="15">
      <c r="D147" s="65"/>
      <c r="E147" s="109"/>
      <c r="F147" s="109"/>
    </row>
    <row r="148" spans="4:6" ht="15">
      <c r="D148" s="65"/>
      <c r="E148" s="109"/>
      <c r="F148" s="109"/>
    </row>
    <row r="149" spans="4:6" ht="15">
      <c r="D149" s="65"/>
      <c r="E149" s="109"/>
      <c r="F149" s="109"/>
    </row>
    <row r="150" spans="4:6" ht="15">
      <c r="D150" s="65"/>
      <c r="E150" s="109"/>
      <c r="F150" s="109"/>
    </row>
    <row r="151" spans="4:6" ht="15">
      <c r="D151" s="65"/>
      <c r="E151" s="109"/>
      <c r="F151" s="109"/>
    </row>
    <row r="152" spans="4:6" ht="15">
      <c r="D152" s="65"/>
      <c r="E152" s="109"/>
      <c r="F152" s="109"/>
    </row>
    <row r="153" spans="4:6" ht="15">
      <c r="D153" s="65"/>
      <c r="E153" s="109"/>
      <c r="F153" s="109"/>
    </row>
    <row r="154" spans="4:6" ht="15">
      <c r="D154" s="65"/>
      <c r="E154" s="109"/>
      <c r="F154" s="109"/>
    </row>
    <row r="155" spans="4:6" ht="15">
      <c r="D155" s="65"/>
      <c r="E155" s="109"/>
      <c r="F155" s="109"/>
    </row>
    <row r="156" spans="4:6" ht="15">
      <c r="D156" s="65"/>
      <c r="E156" s="109"/>
      <c r="F156" s="109"/>
    </row>
    <row r="157" spans="4:6" ht="15">
      <c r="D157" s="65"/>
      <c r="E157" s="109"/>
      <c r="F157" s="109"/>
    </row>
    <row r="158" spans="4:6" ht="15">
      <c r="D158" s="65"/>
      <c r="E158" s="109"/>
      <c r="F158" s="109"/>
    </row>
    <row r="159" spans="4:6" ht="15">
      <c r="D159" s="65"/>
      <c r="E159" s="109"/>
      <c r="F159" s="109"/>
    </row>
    <row r="160" spans="4:6" ht="15">
      <c r="D160" s="65"/>
      <c r="E160" s="109"/>
      <c r="F160" s="109"/>
    </row>
    <row r="161" spans="4:6" ht="15">
      <c r="D161" s="65"/>
      <c r="E161" s="109"/>
      <c r="F161" s="109"/>
    </row>
    <row r="162" spans="4:6" ht="15">
      <c r="D162" s="65"/>
      <c r="E162" s="109"/>
      <c r="F162" s="109"/>
    </row>
    <row r="163" spans="4:6" ht="15">
      <c r="D163" s="65"/>
      <c r="E163" s="109"/>
      <c r="F163" s="109"/>
    </row>
    <row r="164" spans="4:6" ht="15">
      <c r="D164" s="65"/>
      <c r="E164" s="109"/>
      <c r="F164" s="109"/>
    </row>
    <row r="165" spans="4:6" ht="15">
      <c r="D165" s="65"/>
      <c r="E165" s="109"/>
      <c r="F165" s="109"/>
    </row>
    <row r="166" spans="4:6" ht="15">
      <c r="D166" s="65"/>
      <c r="E166" s="109"/>
      <c r="F166" s="109"/>
    </row>
    <row r="167" spans="4:6" ht="15">
      <c r="D167" s="65"/>
      <c r="E167" s="109"/>
      <c r="F167" s="109"/>
    </row>
    <row r="168" spans="4:6" ht="15">
      <c r="D168" s="65"/>
      <c r="E168" s="109"/>
      <c r="F168" s="109"/>
    </row>
    <row r="169" spans="4:6" ht="15">
      <c r="D169" s="65"/>
      <c r="E169" s="109"/>
      <c r="F169" s="109"/>
    </row>
    <row r="170" spans="4:6" ht="15">
      <c r="D170" s="65"/>
      <c r="E170" s="109"/>
      <c r="F170" s="109"/>
    </row>
    <row r="171" spans="4:6" ht="15">
      <c r="D171" s="65"/>
      <c r="E171" s="109"/>
      <c r="F171" s="109"/>
    </row>
    <row r="172" spans="4:6" ht="15">
      <c r="D172" s="65"/>
      <c r="E172" s="109"/>
      <c r="F172" s="109"/>
    </row>
    <row r="173" spans="4:6" ht="15">
      <c r="D173" s="65"/>
      <c r="E173" s="109"/>
      <c r="F173" s="109"/>
    </row>
    <row r="174" spans="4:6" ht="15">
      <c r="D174" s="65"/>
      <c r="E174" s="109"/>
      <c r="F174" s="109"/>
    </row>
    <row r="175" spans="4:6" ht="15">
      <c r="D175" s="65"/>
      <c r="E175" s="109"/>
      <c r="F175" s="109"/>
    </row>
    <row r="176" spans="4:6" ht="15">
      <c r="D176" s="65"/>
      <c r="E176" s="109"/>
      <c r="F176" s="109"/>
    </row>
    <row r="177" spans="4:6" ht="15">
      <c r="D177" s="65"/>
      <c r="E177" s="109"/>
      <c r="F177" s="109"/>
    </row>
    <row r="178" spans="4:6" ht="15">
      <c r="D178" s="65"/>
      <c r="E178" s="109"/>
      <c r="F178" s="109"/>
    </row>
    <row r="179" spans="4:6" ht="15">
      <c r="D179" s="65"/>
      <c r="E179" s="109"/>
      <c r="F179" s="109"/>
    </row>
    <row r="180" spans="4:6" ht="15">
      <c r="D180" s="65"/>
      <c r="E180" s="109"/>
      <c r="F180" s="109"/>
    </row>
    <row r="181" spans="4:6" ht="15">
      <c r="D181" s="65"/>
      <c r="E181" s="109"/>
      <c r="F181" s="109"/>
    </row>
    <row r="182" spans="4:6" ht="15">
      <c r="D182" s="65"/>
      <c r="E182" s="109"/>
      <c r="F182" s="109"/>
    </row>
    <row r="183" spans="4:6" ht="15">
      <c r="D183" s="65"/>
      <c r="E183" s="109"/>
      <c r="F183" s="109"/>
    </row>
    <row r="184" spans="4:6" ht="15">
      <c r="D184" s="65"/>
      <c r="E184" s="109"/>
      <c r="F184" s="109"/>
    </row>
    <row r="185" spans="4:6" ht="15">
      <c r="D185" s="65"/>
      <c r="E185" s="109"/>
      <c r="F185" s="109"/>
    </row>
    <row r="186" spans="4:6" ht="15">
      <c r="D186" s="65"/>
      <c r="E186" s="109"/>
      <c r="F186" s="109"/>
    </row>
    <row r="187" spans="4:6" ht="15">
      <c r="D187" s="65"/>
      <c r="E187" s="109"/>
      <c r="F187" s="109"/>
    </row>
    <row r="188" spans="4:6" ht="15">
      <c r="D188" s="65"/>
      <c r="E188" s="109"/>
      <c r="F188" s="109"/>
    </row>
    <row r="189" spans="4:6" ht="15">
      <c r="D189" s="65"/>
      <c r="E189" s="109"/>
      <c r="F189" s="109"/>
    </row>
    <row r="190" spans="4:6" ht="15">
      <c r="D190" s="65"/>
      <c r="E190" s="109"/>
      <c r="F190" s="109"/>
    </row>
    <row r="191" spans="4:6" ht="15">
      <c r="D191" s="65"/>
      <c r="E191" s="109"/>
      <c r="F191" s="109"/>
    </row>
    <row r="192" spans="4:6" ht="15">
      <c r="D192" s="65"/>
      <c r="E192" s="109"/>
      <c r="F192" s="109"/>
    </row>
    <row r="193" spans="4:6" ht="15">
      <c r="D193" s="65"/>
      <c r="E193" s="109"/>
      <c r="F193" s="109"/>
    </row>
    <row r="194" spans="4:6" ht="15">
      <c r="D194" s="65"/>
      <c r="E194" s="109"/>
      <c r="F194" s="109"/>
    </row>
    <row r="195" spans="4:6" ht="15">
      <c r="D195" s="65"/>
      <c r="E195" s="109"/>
      <c r="F195" s="109"/>
    </row>
    <row r="196" spans="4:6" ht="15">
      <c r="D196" s="65"/>
      <c r="E196" s="109"/>
      <c r="F196" s="109"/>
    </row>
    <row r="197" spans="4:6" ht="15">
      <c r="D197" s="65"/>
      <c r="E197" s="109"/>
      <c r="F197" s="109"/>
    </row>
    <row r="198" spans="4:6" ht="15">
      <c r="D198" s="65"/>
      <c r="E198" s="109"/>
      <c r="F198" s="109"/>
    </row>
    <row r="199" spans="4:6" ht="15">
      <c r="D199" s="65"/>
      <c r="E199" s="109"/>
      <c r="F199" s="109"/>
    </row>
    <row r="200" spans="4:6" ht="15">
      <c r="D200" s="65"/>
      <c r="E200" s="109"/>
      <c r="F200" s="109"/>
    </row>
    <row r="201" spans="4:6" ht="15">
      <c r="D201" s="65"/>
      <c r="E201" s="109"/>
      <c r="F201" s="109"/>
    </row>
    <row r="202" spans="4:6" ht="15">
      <c r="D202" s="65"/>
      <c r="E202" s="109"/>
      <c r="F202" s="109"/>
    </row>
    <row r="203" spans="4:6" ht="15">
      <c r="D203" s="65"/>
      <c r="E203" s="109"/>
      <c r="F203" s="109"/>
    </row>
    <row r="204" spans="4:6" ht="15">
      <c r="D204" s="65"/>
      <c r="E204" s="109"/>
      <c r="F204" s="109"/>
    </row>
    <row r="205" spans="4:6" ht="15">
      <c r="D205" s="65"/>
      <c r="E205" s="109"/>
      <c r="F205" s="109"/>
    </row>
    <row r="206" spans="4:6" ht="15">
      <c r="D206" s="65"/>
      <c r="E206" s="109"/>
      <c r="F206" s="109"/>
    </row>
    <row r="207" spans="4:6" ht="15">
      <c r="D207" s="65"/>
      <c r="E207" s="109"/>
      <c r="F207" s="109"/>
    </row>
    <row r="208" spans="4:6" ht="15">
      <c r="D208" s="65"/>
      <c r="E208" s="109"/>
      <c r="F208" s="109"/>
    </row>
    <row r="209" spans="4:6" ht="15">
      <c r="D209" s="65"/>
      <c r="E209" s="109"/>
      <c r="F209" s="109"/>
    </row>
    <row r="210" spans="4:6" ht="15">
      <c r="D210" s="65"/>
      <c r="E210" s="109"/>
      <c r="F210" s="109"/>
    </row>
    <row r="211" spans="4:6" ht="15">
      <c r="D211" s="65"/>
      <c r="E211" s="109"/>
      <c r="F211" s="109"/>
    </row>
    <row r="212" spans="4:6" ht="15">
      <c r="D212" s="65"/>
      <c r="E212" s="109"/>
      <c r="F212" s="109"/>
    </row>
    <row r="213" spans="4:6" ht="15">
      <c r="D213" s="65"/>
      <c r="E213" s="109"/>
      <c r="F213" s="109"/>
    </row>
    <row r="214" spans="4:6" ht="15">
      <c r="D214" s="65"/>
      <c r="E214" s="109"/>
      <c r="F214" s="109"/>
    </row>
    <row r="215" spans="4:6" ht="15">
      <c r="D215" s="65"/>
      <c r="E215" s="109"/>
      <c r="F215" s="109"/>
    </row>
    <row r="216" spans="4:6" ht="15">
      <c r="D216" s="65"/>
      <c r="E216" s="109"/>
      <c r="F216" s="109"/>
    </row>
    <row r="217" spans="4:6" ht="15">
      <c r="D217" s="65"/>
      <c r="E217" s="109"/>
      <c r="F217" s="109"/>
    </row>
    <row r="218" spans="4:6" ht="15">
      <c r="D218" s="65"/>
      <c r="E218" s="109"/>
      <c r="F218" s="109"/>
    </row>
    <row r="219" spans="4:6" ht="15">
      <c r="D219" s="65"/>
      <c r="E219" s="109"/>
      <c r="F219" s="109"/>
    </row>
    <row r="220" spans="4:6" ht="15">
      <c r="D220" s="65"/>
      <c r="E220" s="109"/>
      <c r="F220" s="109"/>
    </row>
    <row r="221" spans="4:6" ht="15">
      <c r="D221" s="65"/>
      <c r="E221" s="109"/>
      <c r="F221" s="109"/>
    </row>
    <row r="222" spans="4:6" ht="15">
      <c r="D222" s="65"/>
      <c r="E222" s="109"/>
      <c r="F222" s="109"/>
    </row>
    <row r="223" spans="4:6" ht="15">
      <c r="D223" s="65"/>
      <c r="E223" s="109"/>
      <c r="F223" s="109"/>
    </row>
    <row r="224" spans="4:6" ht="15">
      <c r="D224" s="65"/>
      <c r="E224" s="109"/>
      <c r="F224" s="109"/>
    </row>
    <row r="225" spans="4:6" ht="15">
      <c r="D225" s="65"/>
      <c r="E225" s="109"/>
      <c r="F225" s="109"/>
    </row>
    <row r="226" spans="4:6" ht="15">
      <c r="D226" s="65"/>
      <c r="E226" s="109"/>
      <c r="F226" s="109"/>
    </row>
    <row r="227" spans="4:6" ht="15">
      <c r="D227" s="65"/>
      <c r="E227" s="109"/>
      <c r="F227" s="109"/>
    </row>
    <row r="228" spans="4:6" ht="15">
      <c r="D228" s="65"/>
      <c r="E228" s="109"/>
      <c r="F228" s="109"/>
    </row>
    <row r="229" spans="4:6" ht="15">
      <c r="D229" s="65"/>
      <c r="E229" s="109"/>
      <c r="F229" s="109"/>
    </row>
    <row r="230" spans="4:6" ht="15">
      <c r="D230" s="65"/>
      <c r="E230" s="109"/>
      <c r="F230" s="109"/>
    </row>
    <row r="231" spans="4:6" ht="15">
      <c r="D231" s="65"/>
      <c r="E231" s="109"/>
      <c r="F231" s="109"/>
    </row>
    <row r="232" spans="4:6" ht="15">
      <c r="D232" s="65"/>
      <c r="E232" s="109"/>
      <c r="F232" s="109"/>
    </row>
    <row r="233" spans="4:6" ht="15">
      <c r="D233" s="65"/>
      <c r="E233" s="109"/>
      <c r="F233" s="109"/>
    </row>
    <row r="234" spans="4:6" ht="15">
      <c r="D234" s="65"/>
      <c r="E234" s="109"/>
      <c r="F234" s="109"/>
    </row>
    <row r="235" spans="4:6" ht="15">
      <c r="D235" s="65"/>
      <c r="E235" s="109"/>
      <c r="F235" s="109"/>
    </row>
    <row r="236" spans="4:6" ht="15">
      <c r="D236" s="65"/>
      <c r="E236" s="109"/>
      <c r="F236" s="109"/>
    </row>
    <row r="237" spans="4:6" ht="15">
      <c r="D237" s="65"/>
      <c r="E237" s="109"/>
      <c r="F237" s="109"/>
    </row>
    <row r="238" spans="4:6" ht="15">
      <c r="D238" s="65"/>
      <c r="E238" s="109"/>
      <c r="F238" s="109"/>
    </row>
    <row r="239" spans="4:6" ht="15">
      <c r="D239" s="65"/>
      <c r="E239" s="109"/>
      <c r="F239" s="109"/>
    </row>
    <row r="240" spans="4:6" ht="15">
      <c r="D240" s="65"/>
      <c r="E240" s="109"/>
      <c r="F240" s="109"/>
    </row>
    <row r="241" spans="4:6" ht="15">
      <c r="D241" s="65"/>
      <c r="E241" s="109"/>
      <c r="F241" s="109"/>
    </row>
    <row r="242" spans="4:6" ht="15">
      <c r="D242" s="65"/>
      <c r="E242" s="109"/>
      <c r="F242" s="109"/>
    </row>
    <row r="243" spans="4:6" ht="15">
      <c r="D243" s="65"/>
      <c r="E243" s="109"/>
      <c r="F243" s="109"/>
    </row>
    <row r="244" spans="4:6" ht="15">
      <c r="D244" s="65"/>
      <c r="E244" s="109"/>
      <c r="F244" s="109"/>
    </row>
    <row r="245" spans="4:6" ht="15">
      <c r="D245" s="65"/>
      <c r="E245" s="109"/>
      <c r="F245" s="109"/>
    </row>
    <row r="246" spans="4:6" ht="15">
      <c r="D246" s="65"/>
      <c r="E246" s="109"/>
      <c r="F246" s="109"/>
    </row>
    <row r="247" spans="4:6" ht="15">
      <c r="D247" s="65"/>
      <c r="E247" s="109"/>
      <c r="F247" s="109"/>
    </row>
    <row r="248" spans="4:6" ht="15">
      <c r="D248" s="65"/>
      <c r="E248" s="109"/>
      <c r="F248" s="109"/>
    </row>
    <row r="249" spans="4:6" ht="15">
      <c r="D249" s="65"/>
      <c r="E249" s="109"/>
      <c r="F249" s="109"/>
    </row>
    <row r="250" spans="4:6" ht="15">
      <c r="D250" s="65"/>
      <c r="E250" s="109"/>
      <c r="F250" s="109"/>
    </row>
    <row r="251" spans="4:6" ht="15">
      <c r="D251" s="65"/>
      <c r="E251" s="109"/>
      <c r="F251" s="109"/>
    </row>
    <row r="252" spans="4:6" ht="15">
      <c r="D252" s="65"/>
      <c r="E252" s="109"/>
      <c r="F252" s="109"/>
    </row>
    <row r="253" spans="4:6" ht="15">
      <c r="D253" s="65"/>
      <c r="E253" s="109"/>
      <c r="F253" s="109"/>
    </row>
    <row r="254" spans="4:6" ht="15">
      <c r="D254" s="65"/>
      <c r="E254" s="109"/>
      <c r="F254" s="109"/>
    </row>
    <row r="255" spans="4:6" ht="15">
      <c r="D255" s="65"/>
      <c r="E255" s="109"/>
      <c r="F255" s="109"/>
    </row>
    <row r="256" spans="4:6" ht="15">
      <c r="D256" s="65"/>
      <c r="E256" s="109"/>
      <c r="F256" s="109"/>
    </row>
    <row r="257" spans="4:6" ht="15">
      <c r="D257" s="65"/>
      <c r="E257" s="109"/>
      <c r="F257" s="109"/>
    </row>
    <row r="258" spans="4:6" ht="15">
      <c r="D258" s="65"/>
      <c r="E258" s="109"/>
      <c r="F258" s="109"/>
    </row>
    <row r="259" spans="4:6" ht="15">
      <c r="D259" s="65"/>
      <c r="E259" s="109"/>
      <c r="F259" s="109"/>
    </row>
    <row r="260" spans="4:6" ht="15">
      <c r="D260" s="65"/>
      <c r="E260" s="109"/>
      <c r="F260" s="109"/>
    </row>
    <row r="261" spans="4:6" ht="15">
      <c r="D261" s="65"/>
      <c r="E261" s="109"/>
      <c r="F261" s="109"/>
    </row>
    <row r="262" spans="4:6" ht="15">
      <c r="D262" s="65"/>
      <c r="E262" s="109"/>
      <c r="F262" s="109"/>
    </row>
    <row r="263" spans="4:6" ht="15">
      <c r="D263" s="65"/>
      <c r="E263" s="109"/>
      <c r="F263" s="109"/>
    </row>
    <row r="264" spans="4:6" ht="15">
      <c r="D264" s="65"/>
      <c r="E264" s="109"/>
      <c r="F264" s="109"/>
    </row>
    <row r="265" spans="4:6" ht="15">
      <c r="D265" s="65"/>
      <c r="E265" s="109"/>
      <c r="F265" s="109"/>
    </row>
    <row r="266" spans="4:6" ht="15">
      <c r="D266" s="65"/>
      <c r="E266" s="109"/>
      <c r="F266" s="109"/>
    </row>
    <row r="267" spans="4:6" ht="15">
      <c r="D267" s="65"/>
      <c r="E267" s="109"/>
      <c r="F267" s="109"/>
    </row>
    <row r="268" spans="4:6" ht="15">
      <c r="D268" s="65"/>
      <c r="E268" s="109"/>
      <c r="F268" s="109"/>
    </row>
    <row r="269" spans="4:6" ht="15">
      <c r="D269" s="65"/>
      <c r="E269" s="109"/>
      <c r="F269" s="109"/>
    </row>
    <row r="270" spans="4:6" ht="15">
      <c r="D270" s="65"/>
      <c r="E270" s="109"/>
      <c r="F270" s="109"/>
    </row>
    <row r="271" spans="4:6" ht="15">
      <c r="D271" s="65"/>
      <c r="E271" s="109"/>
      <c r="F271" s="109"/>
    </row>
    <row r="272" spans="4:6" ht="15">
      <c r="D272" s="65"/>
      <c r="E272" s="109"/>
      <c r="F272" s="109"/>
    </row>
    <row r="273" spans="4:6" ht="15">
      <c r="D273" s="65"/>
      <c r="E273" s="109"/>
      <c r="F273" s="109"/>
    </row>
    <row r="274" spans="4:6" ht="15">
      <c r="D274" s="65"/>
      <c r="E274" s="109"/>
      <c r="F274" s="109"/>
    </row>
    <row r="275" spans="4:6" ht="15">
      <c r="D275" s="65"/>
      <c r="E275" s="109"/>
      <c r="F275" s="109"/>
    </row>
    <row r="276" spans="4:6" ht="15">
      <c r="D276" s="65"/>
      <c r="E276" s="109"/>
      <c r="F276" s="109"/>
    </row>
    <row r="277" spans="4:6" ht="15">
      <c r="D277" s="65"/>
      <c r="E277" s="109"/>
      <c r="F277" s="109"/>
    </row>
    <row r="278" spans="4:6" ht="15">
      <c r="D278" s="65"/>
      <c r="E278" s="109"/>
      <c r="F278" s="109"/>
    </row>
    <row r="279" spans="4:6" ht="15">
      <c r="D279" s="65"/>
      <c r="E279" s="109"/>
      <c r="F279" s="109"/>
    </row>
    <row r="280" spans="4:6" ht="15">
      <c r="D280" s="65"/>
      <c r="E280" s="109"/>
      <c r="F280" s="109"/>
    </row>
    <row r="281" spans="4:6" ht="15">
      <c r="D281" s="65"/>
      <c r="E281" s="109"/>
      <c r="F281" s="109"/>
    </row>
    <row r="282" spans="4:6" ht="15">
      <c r="D282" s="65"/>
      <c r="E282" s="109"/>
      <c r="F282" s="109"/>
    </row>
    <row r="283" spans="4:6" ht="15">
      <c r="D283" s="65"/>
      <c r="E283" s="109"/>
      <c r="F283" s="109"/>
    </row>
    <row r="284" spans="4:6" ht="15">
      <c r="D284" s="65"/>
      <c r="E284" s="109"/>
      <c r="F284" s="109"/>
    </row>
    <row r="285" spans="4:6" ht="15">
      <c r="D285" s="65"/>
      <c r="E285" s="109"/>
      <c r="F285" s="109"/>
    </row>
    <row r="286" spans="4:6" ht="15">
      <c r="D286" s="65"/>
      <c r="E286" s="109"/>
      <c r="F286" s="109"/>
    </row>
    <row r="287" spans="4:6" ht="15">
      <c r="D287" s="65"/>
      <c r="E287" s="109"/>
      <c r="F287" s="109"/>
    </row>
    <row r="288" spans="4:6" ht="15">
      <c r="D288" s="65"/>
      <c r="E288" s="109"/>
      <c r="F288" s="109"/>
    </row>
    <row r="289" spans="4:6" ht="15">
      <c r="D289" s="65"/>
      <c r="E289" s="109"/>
      <c r="F289" s="109"/>
    </row>
    <row r="290" spans="4:6" ht="15">
      <c r="D290" s="65"/>
      <c r="E290" s="109"/>
      <c r="F290" s="109"/>
    </row>
    <row r="291" spans="4:6" ht="15">
      <c r="D291" s="65"/>
      <c r="E291" s="109"/>
      <c r="F291" s="109"/>
    </row>
    <row r="292" spans="4:6" ht="15">
      <c r="D292" s="65"/>
      <c r="E292" s="109"/>
      <c r="F292" s="109"/>
    </row>
    <row r="293" spans="4:6" ht="15">
      <c r="D293" s="65"/>
      <c r="E293" s="109"/>
      <c r="F293" s="109"/>
    </row>
    <row r="294" spans="4:6" ht="15">
      <c r="D294" s="65"/>
      <c r="E294" s="109"/>
      <c r="F294" s="109"/>
    </row>
    <row r="295" spans="4:6" ht="15">
      <c r="D295" s="65"/>
      <c r="E295" s="109"/>
      <c r="F295" s="109"/>
    </row>
    <row r="296" spans="4:6" ht="15">
      <c r="D296" s="65"/>
      <c r="E296" s="109"/>
      <c r="F296" s="109"/>
    </row>
    <row r="297" spans="4:6" ht="15">
      <c r="D297" s="65"/>
      <c r="E297" s="109"/>
      <c r="F297" s="109"/>
    </row>
    <row r="298" spans="4:6" ht="15">
      <c r="D298" s="65"/>
      <c r="E298" s="109"/>
      <c r="F298" s="109"/>
    </row>
    <row r="299" spans="4:6" ht="15">
      <c r="D299" s="65"/>
      <c r="E299" s="109"/>
      <c r="F299" s="109"/>
    </row>
    <row r="300" spans="4:6" ht="15">
      <c r="D300" s="65"/>
      <c r="E300" s="109"/>
      <c r="F300" s="109"/>
    </row>
    <row r="301" spans="4:6" ht="15">
      <c r="D301" s="65"/>
      <c r="E301" s="109"/>
      <c r="F301" s="109"/>
    </row>
    <row r="302" spans="4:6" ht="15">
      <c r="D302" s="65"/>
      <c r="E302" s="109"/>
      <c r="F302" s="109"/>
    </row>
    <row r="303" spans="4:6" ht="15">
      <c r="D303" s="65"/>
      <c r="E303" s="109"/>
      <c r="F303" s="109"/>
    </row>
    <row r="304" spans="4:6" ht="15">
      <c r="D304" s="65"/>
      <c r="E304" s="109"/>
      <c r="F304" s="109"/>
    </row>
    <row r="305" spans="4:6" ht="15">
      <c r="D305" s="65"/>
      <c r="E305" s="109"/>
      <c r="F305" s="109"/>
    </row>
    <row r="306" spans="4:6" ht="15">
      <c r="D306" s="65"/>
      <c r="E306" s="109"/>
      <c r="F306" s="109"/>
    </row>
    <row r="307" spans="4:6" ht="15">
      <c r="D307" s="65"/>
      <c r="E307" s="109"/>
      <c r="F307" s="109"/>
    </row>
    <row r="308" spans="4:6" ht="15">
      <c r="D308" s="65"/>
      <c r="E308" s="109"/>
      <c r="F308" s="109"/>
    </row>
    <row r="309" spans="4:6" ht="15">
      <c r="D309" s="65"/>
      <c r="E309" s="109"/>
      <c r="F309" s="109"/>
    </row>
    <row r="310" spans="4:6" ht="15">
      <c r="D310" s="65"/>
      <c r="E310" s="109"/>
      <c r="F310" s="109"/>
    </row>
    <row r="311" spans="4:6" ht="15">
      <c r="D311" s="65"/>
      <c r="E311" s="109"/>
      <c r="F311" s="109"/>
    </row>
    <row r="312" spans="4:6" ht="15">
      <c r="D312" s="65"/>
      <c r="E312" s="109"/>
      <c r="F312" s="109"/>
    </row>
    <row r="313" spans="4:6" ht="15">
      <c r="D313" s="65"/>
      <c r="E313" s="109"/>
      <c r="F313" s="109"/>
    </row>
    <row r="314" spans="4:6" ht="15">
      <c r="D314" s="65"/>
      <c r="E314" s="109"/>
      <c r="F314" s="109"/>
    </row>
    <row r="315" spans="4:6" ht="15">
      <c r="D315" s="65"/>
      <c r="E315" s="109"/>
      <c r="F315" s="109"/>
    </row>
    <row r="316" spans="4:6" ht="15">
      <c r="D316" s="65"/>
      <c r="E316" s="109"/>
      <c r="F316" s="109"/>
    </row>
    <row r="317" spans="4:6" ht="15">
      <c r="D317" s="65"/>
      <c r="E317" s="109"/>
      <c r="F317" s="109"/>
    </row>
    <row r="318" spans="4:6" ht="15">
      <c r="D318" s="65"/>
      <c r="E318" s="109"/>
      <c r="F318" s="109"/>
    </row>
    <row r="319" spans="4:6" ht="15">
      <c r="D319" s="65"/>
      <c r="E319" s="109"/>
      <c r="F319" s="109"/>
    </row>
    <row r="320" spans="4:6" ht="15">
      <c r="D320" s="65"/>
      <c r="E320" s="109"/>
      <c r="F320" s="109"/>
    </row>
    <row r="321" spans="4:6" ht="15">
      <c r="D321" s="65"/>
      <c r="E321" s="109"/>
      <c r="F321" s="109"/>
    </row>
    <row r="322" spans="4:6" ht="15">
      <c r="D322" s="65"/>
      <c r="E322" s="109"/>
      <c r="F322" s="109"/>
    </row>
    <row r="323" spans="4:6" ht="15">
      <c r="D323" s="65"/>
      <c r="E323" s="109"/>
      <c r="F323" s="109"/>
    </row>
    <row r="324" spans="4:6" ht="15">
      <c r="D324" s="65"/>
      <c r="E324" s="109"/>
      <c r="F324" s="109"/>
    </row>
    <row r="325" spans="4:6" ht="15">
      <c r="D325" s="65"/>
      <c r="E325" s="109"/>
      <c r="F325" s="109"/>
    </row>
    <row r="326" spans="4:6" ht="15">
      <c r="D326" s="65"/>
      <c r="E326" s="109"/>
      <c r="F326" s="109"/>
    </row>
    <row r="327" spans="4:6" ht="15">
      <c r="D327" s="65"/>
      <c r="E327" s="109"/>
      <c r="F327" s="109"/>
    </row>
    <row r="328" spans="4:6" ht="15">
      <c r="D328" s="65"/>
      <c r="E328" s="109"/>
      <c r="F328" s="109"/>
    </row>
    <row r="329" spans="4:6" ht="15">
      <c r="D329" s="65"/>
      <c r="E329" s="109"/>
      <c r="F329" s="109"/>
    </row>
    <row r="330" spans="4:6" ht="15">
      <c r="D330" s="65"/>
      <c r="E330" s="109"/>
      <c r="F330" s="109"/>
    </row>
    <row r="331" spans="4:6" ht="15">
      <c r="D331" s="65"/>
      <c r="E331" s="109"/>
      <c r="F331" s="109"/>
    </row>
    <row r="332" spans="4:6" ht="15">
      <c r="D332" s="65"/>
      <c r="E332" s="109"/>
      <c r="F332" s="109"/>
    </row>
    <row r="333" spans="4:6" ht="15">
      <c r="D333" s="65"/>
      <c r="E333" s="109"/>
      <c r="F333" s="109"/>
    </row>
    <row r="334" spans="4:6" ht="15">
      <c r="D334" s="65"/>
      <c r="E334" s="109"/>
      <c r="F334" s="109"/>
    </row>
    <row r="335" spans="4:6" ht="15">
      <c r="D335" s="65"/>
      <c r="E335" s="109"/>
      <c r="F335" s="109"/>
    </row>
    <row r="336" spans="4:6" ht="15">
      <c r="D336" s="65"/>
      <c r="E336" s="109"/>
      <c r="F336" s="109"/>
    </row>
    <row r="337" spans="4:6" ht="15">
      <c r="D337" s="65"/>
      <c r="E337" s="109"/>
      <c r="F337" s="109"/>
    </row>
    <row r="338" spans="4:6" ht="15">
      <c r="D338" s="65"/>
      <c r="E338" s="109"/>
      <c r="F338" s="109"/>
    </row>
    <row r="339" spans="4:6" ht="15">
      <c r="D339" s="65"/>
      <c r="E339" s="109"/>
      <c r="F339" s="109"/>
    </row>
    <row r="340" spans="4:6" ht="15">
      <c r="D340" s="65"/>
      <c r="E340" s="109"/>
      <c r="F340" s="109"/>
    </row>
    <row r="341" spans="4:6" ht="15">
      <c r="D341" s="65"/>
      <c r="E341" s="109"/>
      <c r="F341" s="109"/>
    </row>
    <row r="342" spans="4:6" ht="15">
      <c r="D342" s="65"/>
      <c r="E342" s="109"/>
      <c r="F342" s="109"/>
    </row>
    <row r="343" spans="4:6" ht="15">
      <c r="D343" s="65"/>
      <c r="E343" s="109"/>
      <c r="F343" s="109"/>
    </row>
    <row r="344" spans="4:6" ht="15">
      <c r="D344" s="65"/>
      <c r="E344" s="109"/>
      <c r="F344" s="109"/>
    </row>
    <row r="345" spans="4:6" ht="15">
      <c r="D345" s="65"/>
      <c r="E345" s="109"/>
      <c r="F345" s="109"/>
    </row>
    <row r="346" spans="4:6" ht="15">
      <c r="D346" s="65"/>
      <c r="E346" s="109"/>
      <c r="F346" s="109"/>
    </row>
    <row r="347" spans="4:6" ht="15">
      <c r="D347" s="65"/>
      <c r="E347" s="109"/>
      <c r="F347" s="109"/>
    </row>
    <row r="348" spans="4:6" ht="15">
      <c r="D348" s="65"/>
      <c r="E348" s="109"/>
      <c r="F348" s="109"/>
    </row>
    <row r="349" spans="4:6" ht="15">
      <c r="D349" s="65"/>
      <c r="E349" s="109"/>
      <c r="F349" s="109"/>
    </row>
    <row r="350" spans="4:6" ht="15">
      <c r="D350" s="65"/>
      <c r="E350" s="109"/>
      <c r="F350" s="109"/>
    </row>
    <row r="351" spans="4:6" ht="15">
      <c r="D351" s="65"/>
      <c r="E351" s="109"/>
      <c r="F351" s="109"/>
    </row>
    <row r="352" spans="4:6" ht="15">
      <c r="D352" s="65"/>
      <c r="E352" s="109"/>
      <c r="F352" s="109"/>
    </row>
    <row r="353" spans="4:6" ht="15">
      <c r="D353" s="65"/>
      <c r="E353" s="109"/>
      <c r="F353" s="109"/>
    </row>
    <row r="354" spans="4:6" ht="15">
      <c r="D354" s="65"/>
      <c r="E354" s="109"/>
      <c r="F354" s="109"/>
    </row>
    <row r="355" spans="4:6" ht="15">
      <c r="D355" s="65"/>
      <c r="E355" s="109"/>
      <c r="F355" s="109"/>
    </row>
    <row r="356" spans="4:6" ht="15">
      <c r="D356" s="65"/>
      <c r="E356" s="109"/>
      <c r="F356" s="109"/>
    </row>
    <row r="357" spans="4:6" ht="15">
      <c r="D357" s="65"/>
      <c r="E357" s="109"/>
      <c r="F357" s="109"/>
    </row>
    <row r="358" spans="4:6" ht="15">
      <c r="D358" s="65"/>
      <c r="E358" s="109"/>
      <c r="F358" s="109"/>
    </row>
    <row r="359" spans="4:6" ht="15">
      <c r="D359" s="65"/>
      <c r="E359" s="109"/>
      <c r="F359" s="109"/>
    </row>
    <row r="360" spans="4:6" ht="15">
      <c r="D360" s="65"/>
      <c r="E360" s="109"/>
      <c r="F360" s="109"/>
    </row>
    <row r="361" spans="4:6" ht="15">
      <c r="D361" s="65"/>
      <c r="E361" s="109"/>
      <c r="F361" s="109"/>
    </row>
    <row r="362" spans="4:6" ht="15">
      <c r="D362" s="65"/>
      <c r="E362" s="109"/>
      <c r="F362" s="109"/>
    </row>
    <row r="363" spans="4:6" ht="15">
      <c r="D363" s="65"/>
      <c r="E363" s="109"/>
      <c r="F363" s="109"/>
    </row>
    <row r="364" spans="4:6" ht="15">
      <c r="D364" s="65"/>
      <c r="E364" s="109"/>
      <c r="F364" s="109"/>
    </row>
    <row r="365" spans="4:6" ht="15">
      <c r="D365" s="65"/>
      <c r="E365" s="109"/>
      <c r="F365" s="109"/>
    </row>
    <row r="366" spans="4:6" ht="15">
      <c r="D366" s="65"/>
      <c r="E366" s="109"/>
      <c r="F366" s="109"/>
    </row>
    <row r="367" spans="4:6" ht="15">
      <c r="D367" s="65"/>
      <c r="E367" s="109"/>
      <c r="F367" s="109"/>
    </row>
    <row r="368" spans="4:6" ht="15">
      <c r="D368" s="65"/>
      <c r="E368" s="109"/>
      <c r="F368" s="109"/>
    </row>
    <row r="369" spans="4:6" ht="15">
      <c r="D369" s="65"/>
      <c r="E369" s="109"/>
      <c r="F369" s="109"/>
    </row>
    <row r="370" spans="4:6" ht="15">
      <c r="D370" s="65"/>
      <c r="E370" s="109"/>
      <c r="F370" s="109"/>
    </row>
    <row r="371" spans="4:6" ht="15">
      <c r="D371" s="65"/>
      <c r="E371" s="109"/>
      <c r="F371" s="109"/>
    </row>
    <row r="372" spans="4:6" ht="15">
      <c r="D372" s="65"/>
      <c r="E372" s="109"/>
      <c r="F372" s="109"/>
    </row>
    <row r="373" spans="4:6" ht="15">
      <c r="D373" s="65"/>
      <c r="E373" s="109"/>
      <c r="F373" s="109"/>
    </row>
    <row r="374" spans="4:6" ht="15">
      <c r="D374" s="65"/>
      <c r="E374" s="109"/>
      <c r="F374" s="109"/>
    </row>
    <row r="375" spans="4:6" ht="15">
      <c r="D375" s="65"/>
      <c r="E375" s="109"/>
      <c r="F375" s="109"/>
    </row>
    <row r="376" spans="4:6" ht="15">
      <c r="D376" s="65"/>
      <c r="E376" s="109"/>
      <c r="F376" s="109"/>
    </row>
    <row r="377" spans="4:6" ht="15">
      <c r="D377" s="65"/>
      <c r="E377" s="109"/>
      <c r="F377" s="109"/>
    </row>
    <row r="378" spans="4:6" ht="15">
      <c r="D378" s="65"/>
      <c r="E378" s="109"/>
      <c r="F378" s="109"/>
    </row>
    <row r="379" spans="4:6" ht="15">
      <c r="D379" s="65"/>
      <c r="E379" s="109"/>
      <c r="F379" s="109"/>
    </row>
    <row r="380" spans="4:6" ht="15">
      <c r="D380" s="65"/>
      <c r="E380" s="109"/>
      <c r="F380" s="109"/>
    </row>
    <row r="381" spans="4:6" ht="15">
      <c r="D381" s="65"/>
      <c r="E381" s="109"/>
      <c r="F381" s="109"/>
    </row>
    <row r="382" spans="4:6" ht="15">
      <c r="D382" s="65"/>
      <c r="E382" s="109"/>
      <c r="F382" s="109"/>
    </row>
    <row r="383" spans="4:6" ht="15">
      <c r="D383" s="65"/>
      <c r="E383" s="109"/>
      <c r="F383" s="109"/>
    </row>
    <row r="384" spans="4:6" ht="15">
      <c r="D384" s="65"/>
      <c r="E384" s="109"/>
      <c r="F384" s="109"/>
    </row>
    <row r="385" spans="4:6" ht="15">
      <c r="D385" s="65"/>
      <c r="E385" s="109"/>
      <c r="F385" s="109"/>
    </row>
    <row r="386" spans="4:6" ht="15">
      <c r="D386" s="65"/>
      <c r="E386" s="109"/>
      <c r="F386" s="109"/>
    </row>
    <row r="387" spans="4:6" ht="15">
      <c r="D387" s="65"/>
      <c r="E387" s="109"/>
      <c r="F387" s="109"/>
    </row>
    <row r="388" spans="4:6" ht="15">
      <c r="D388" s="65"/>
      <c r="E388" s="109"/>
      <c r="F388" s="109"/>
    </row>
    <row r="389" spans="4:6" ht="15">
      <c r="D389" s="65"/>
      <c r="E389" s="109"/>
      <c r="F389" s="109"/>
    </row>
    <row r="390" spans="4:6" ht="15">
      <c r="D390" s="65"/>
      <c r="E390" s="109"/>
      <c r="F390" s="109"/>
    </row>
    <row r="391" spans="4:6" ht="15">
      <c r="D391" s="65"/>
      <c r="E391" s="109"/>
      <c r="F391" s="109"/>
    </row>
    <row r="392" spans="4:6" ht="15">
      <c r="D392" s="65"/>
      <c r="E392" s="109"/>
      <c r="F392" s="109"/>
    </row>
    <row r="393" spans="4:6" ht="15">
      <c r="D393" s="65"/>
      <c r="E393" s="109"/>
      <c r="F393" s="109"/>
    </row>
    <row r="394" spans="4:6" ht="15">
      <c r="D394" s="65"/>
      <c r="E394" s="109"/>
      <c r="F394" s="109"/>
    </row>
    <row r="395" spans="4:6" ht="15">
      <c r="D395" s="65"/>
      <c r="E395" s="109"/>
      <c r="F395" s="109"/>
    </row>
    <row r="396" spans="4:6" ht="15">
      <c r="D396" s="65"/>
      <c r="E396" s="109"/>
      <c r="F396" s="109"/>
    </row>
    <row r="397" spans="4:6" ht="15">
      <c r="D397" s="65"/>
      <c r="E397" s="109"/>
      <c r="F397" s="109"/>
    </row>
    <row r="398" spans="4:6" ht="15">
      <c r="D398" s="65"/>
      <c r="E398" s="109"/>
      <c r="F398" s="109"/>
    </row>
    <row r="399" spans="4:6" ht="15">
      <c r="D399" s="65"/>
      <c r="E399" s="109"/>
      <c r="F399" s="109"/>
    </row>
    <row r="400" spans="4:6" ht="15">
      <c r="D400" s="65"/>
      <c r="E400" s="109"/>
      <c r="F400" s="109"/>
    </row>
    <row r="401" spans="4:6" ht="15">
      <c r="D401" s="65"/>
      <c r="E401" s="109"/>
      <c r="F401" s="109"/>
    </row>
    <row r="402" spans="4:6" ht="15">
      <c r="D402" s="65"/>
      <c r="E402" s="109"/>
      <c r="F402" s="109"/>
    </row>
    <row r="403" spans="4:6" ht="15">
      <c r="D403" s="65"/>
      <c r="E403" s="109"/>
      <c r="F403" s="109"/>
    </row>
    <row r="404" spans="4:6" ht="15">
      <c r="D404" s="65"/>
      <c r="E404" s="109"/>
      <c r="F404" s="109"/>
    </row>
    <row r="405" spans="4:6" ht="15">
      <c r="D405" s="65"/>
      <c r="E405" s="109"/>
      <c r="F405" s="109"/>
    </row>
    <row r="406" spans="4:6" ht="15">
      <c r="D406" s="65"/>
      <c r="E406" s="109"/>
      <c r="F406" s="109"/>
    </row>
    <row r="407" spans="4:6" ht="15">
      <c r="D407" s="65"/>
      <c r="E407" s="109"/>
      <c r="F407" s="109"/>
    </row>
    <row r="408" spans="4:6" ht="15">
      <c r="D408" s="65"/>
      <c r="E408" s="109"/>
      <c r="F408" s="109"/>
    </row>
    <row r="409" spans="4:6" ht="15">
      <c r="D409" s="65"/>
      <c r="E409" s="109"/>
      <c r="F409" s="109"/>
    </row>
    <row r="410" spans="4:6" ht="15">
      <c r="D410" s="65"/>
      <c r="E410" s="109"/>
      <c r="F410" s="109"/>
    </row>
    <row r="411" spans="4:6" ht="15">
      <c r="D411" s="65"/>
      <c r="E411" s="109"/>
      <c r="F411" s="109"/>
    </row>
    <row r="412" spans="4:6" ht="15">
      <c r="D412" s="65"/>
      <c r="E412" s="109"/>
      <c r="F412" s="109"/>
    </row>
    <row r="413" spans="4:6" ht="15">
      <c r="D413" s="65"/>
      <c r="E413" s="109"/>
      <c r="F413" s="109"/>
    </row>
    <row r="414" spans="4:6" ht="15">
      <c r="D414" s="65"/>
      <c r="E414" s="109"/>
      <c r="F414" s="109"/>
    </row>
    <row r="415" spans="4:6" ht="15">
      <c r="D415" s="65"/>
      <c r="E415" s="109"/>
      <c r="F415" s="109"/>
    </row>
    <row r="416" spans="4:6" ht="15">
      <c r="D416" s="65"/>
      <c r="E416" s="109"/>
      <c r="F416" s="109"/>
    </row>
    <row r="417" spans="4:6" ht="15">
      <c r="D417" s="65"/>
      <c r="E417" s="109"/>
      <c r="F417" s="109"/>
    </row>
    <row r="418" spans="4:6" ht="15">
      <c r="D418" s="65"/>
      <c r="E418" s="109"/>
      <c r="F418" s="109"/>
    </row>
    <row r="419" spans="4:6" ht="15">
      <c r="D419" s="65"/>
      <c r="E419" s="109"/>
      <c r="F419" s="109"/>
    </row>
    <row r="420" spans="4:6" ht="15">
      <c r="D420" s="65"/>
      <c r="E420" s="109"/>
      <c r="F420" s="109"/>
    </row>
    <row r="421" spans="4:6" ht="15">
      <c r="D421" s="65"/>
      <c r="E421" s="109"/>
      <c r="F421" s="109"/>
    </row>
    <row r="422" spans="4:6" ht="15">
      <c r="D422" s="65"/>
      <c r="E422" s="109"/>
      <c r="F422" s="109"/>
    </row>
    <row r="423" spans="4:6" ht="15">
      <c r="D423" s="65"/>
      <c r="E423" s="109"/>
      <c r="F423" s="109"/>
    </row>
    <row r="424" spans="4:6" ht="15">
      <c r="D424" s="65"/>
      <c r="E424" s="109"/>
      <c r="F424" s="109"/>
    </row>
    <row r="425" spans="4:6" ht="15">
      <c r="D425" s="65"/>
      <c r="E425" s="109"/>
      <c r="F425" s="109"/>
    </row>
    <row r="426" spans="4:6" ht="15">
      <c r="D426" s="65"/>
      <c r="E426" s="109"/>
      <c r="F426" s="109"/>
    </row>
    <row r="427" spans="4:6" ht="15">
      <c r="D427" s="65"/>
      <c r="E427" s="109"/>
      <c r="F427" s="109"/>
    </row>
    <row r="428" spans="4:6" ht="15">
      <c r="D428" s="65"/>
      <c r="E428" s="109"/>
      <c r="F428" s="109"/>
    </row>
    <row r="429" spans="4:6" ht="15">
      <c r="D429" s="65"/>
      <c r="E429" s="109"/>
      <c r="F429" s="109"/>
    </row>
    <row r="430" spans="4:6" ht="15">
      <c r="D430" s="65"/>
      <c r="E430" s="109"/>
      <c r="F430" s="109"/>
    </row>
    <row r="431" spans="4:6" ht="15">
      <c r="D431" s="65"/>
      <c r="E431" s="109"/>
      <c r="F431" s="109"/>
    </row>
    <row r="432" spans="4:6" ht="15">
      <c r="D432" s="65"/>
      <c r="E432" s="109"/>
      <c r="F432" s="109"/>
    </row>
    <row r="433" spans="4:6" ht="15">
      <c r="D433" s="65"/>
      <c r="E433" s="109"/>
      <c r="F433" s="109"/>
    </row>
    <row r="434" spans="4:6" ht="15">
      <c r="D434" s="65"/>
      <c r="E434" s="109"/>
      <c r="F434" s="109"/>
    </row>
    <row r="435" spans="4:6" ht="15">
      <c r="D435" s="65"/>
      <c r="E435" s="109"/>
      <c r="F435" s="109"/>
    </row>
    <row r="436" spans="4:6" ht="15">
      <c r="D436" s="65"/>
      <c r="E436" s="109"/>
      <c r="F436" s="109"/>
    </row>
    <row r="437" spans="4:6" ht="15">
      <c r="D437" s="65"/>
      <c r="E437" s="109"/>
      <c r="F437" s="109"/>
    </row>
    <row r="438" spans="4:6" ht="15">
      <c r="D438" s="65"/>
      <c r="E438" s="109"/>
      <c r="F438" s="109"/>
    </row>
    <row r="439" spans="4:6" ht="15">
      <c r="D439" s="65"/>
      <c r="E439" s="109"/>
      <c r="F439" s="109"/>
    </row>
    <row r="440" spans="4:6" ht="15">
      <c r="D440" s="65"/>
      <c r="E440" s="109"/>
      <c r="F440" s="109"/>
    </row>
    <row r="441" spans="4:6" ht="15">
      <c r="D441" s="65"/>
      <c r="E441" s="109"/>
      <c r="F441" s="109"/>
    </row>
    <row r="442" spans="4:6" ht="15">
      <c r="D442" s="65"/>
      <c r="E442" s="109"/>
      <c r="F442" s="109"/>
    </row>
    <row r="443" spans="4:6" ht="15">
      <c r="D443" s="65"/>
      <c r="E443" s="109"/>
      <c r="F443" s="109"/>
    </row>
    <row r="444" spans="4:6" ht="15">
      <c r="D444" s="65"/>
      <c r="E444" s="109"/>
      <c r="F444" s="109"/>
    </row>
    <row r="445" spans="4:6" ht="15">
      <c r="D445" s="65"/>
      <c r="E445" s="109"/>
      <c r="F445" s="109"/>
    </row>
    <row r="446" spans="4:6" ht="15">
      <c r="D446" s="65"/>
      <c r="E446" s="109"/>
      <c r="F446" s="109"/>
    </row>
    <row r="447" spans="4:6" ht="15">
      <c r="D447" s="65"/>
      <c r="E447" s="109"/>
      <c r="F447" s="109"/>
    </row>
    <row r="448" spans="4:6" ht="15">
      <c r="D448" s="65"/>
      <c r="E448" s="109"/>
      <c r="F448" s="109"/>
    </row>
    <row r="449" spans="4:6" ht="15">
      <c r="D449" s="65"/>
      <c r="E449" s="109"/>
      <c r="F449" s="109"/>
    </row>
    <row r="450" spans="4:6" ht="15">
      <c r="D450" s="65"/>
      <c r="E450" s="109"/>
      <c r="F450" s="109"/>
    </row>
    <row r="451" spans="4:6" ht="15">
      <c r="D451" s="65"/>
      <c r="E451" s="109"/>
      <c r="F451" s="109"/>
    </row>
    <row r="452" spans="4:6" ht="15">
      <c r="D452" s="65"/>
      <c r="E452" s="109"/>
      <c r="F452" s="109"/>
    </row>
    <row r="453" spans="4:6" ht="15">
      <c r="D453" s="65"/>
      <c r="E453" s="109"/>
      <c r="F453" s="109"/>
    </row>
    <row r="454" spans="4:6" ht="15">
      <c r="D454" s="65"/>
      <c r="E454" s="109"/>
      <c r="F454" s="109"/>
    </row>
    <row r="455" spans="4:6" ht="15">
      <c r="D455" s="65"/>
      <c r="E455" s="109"/>
      <c r="F455" s="109"/>
    </row>
    <row r="456" spans="4:6" ht="15">
      <c r="D456" s="65"/>
      <c r="E456" s="109"/>
      <c r="F456" s="109"/>
    </row>
    <row r="457" spans="4:6" ht="15">
      <c r="D457" s="65"/>
      <c r="E457" s="109"/>
      <c r="F457" s="109"/>
    </row>
    <row r="458" spans="4:6" ht="15">
      <c r="D458" s="65"/>
      <c r="E458" s="109"/>
      <c r="F458" s="109"/>
    </row>
    <row r="459" spans="4:6" ht="15">
      <c r="D459" s="65"/>
      <c r="E459" s="109"/>
      <c r="F459" s="109"/>
    </row>
    <row r="460" spans="4:6" ht="15">
      <c r="D460" s="65"/>
      <c r="E460" s="109"/>
      <c r="F460" s="109"/>
    </row>
    <row r="461" spans="4:6" ht="15">
      <c r="D461" s="65"/>
      <c r="E461" s="109"/>
      <c r="F461" s="109"/>
    </row>
    <row r="462" spans="4:6" ht="15">
      <c r="D462" s="65"/>
      <c r="E462" s="109"/>
      <c r="F462" s="109"/>
    </row>
    <row r="463" spans="4:6" ht="15">
      <c r="D463" s="65"/>
      <c r="E463" s="109"/>
      <c r="F463" s="109"/>
    </row>
    <row r="464" spans="4:6" ht="15">
      <c r="D464" s="65"/>
      <c r="E464" s="109"/>
      <c r="F464" s="109"/>
    </row>
    <row r="465" spans="4:6" ht="15">
      <c r="D465" s="65"/>
      <c r="E465" s="109"/>
      <c r="F465" s="109"/>
    </row>
    <row r="466" spans="4:6" ht="15">
      <c r="D466" s="65"/>
      <c r="E466" s="109"/>
      <c r="F466" s="109"/>
    </row>
    <row r="467" spans="4:6" ht="15">
      <c r="D467" s="65"/>
      <c r="E467" s="109"/>
      <c r="F467" s="109"/>
    </row>
    <row r="468" spans="4:6" ht="15">
      <c r="D468" s="65"/>
      <c r="E468" s="109"/>
      <c r="F468" s="109"/>
    </row>
    <row r="469" spans="4:6" ht="15">
      <c r="D469" s="65"/>
      <c r="E469" s="109"/>
      <c r="F469" s="109"/>
    </row>
    <row r="470" spans="4:6" ht="15">
      <c r="D470" s="65"/>
      <c r="E470" s="109"/>
      <c r="F470" s="109"/>
    </row>
    <row r="471" spans="4:6" ht="15">
      <c r="D471" s="65"/>
      <c r="E471" s="109"/>
      <c r="F471" s="109"/>
    </row>
    <row r="472" spans="4:6" ht="15">
      <c r="D472" s="65"/>
      <c r="E472" s="109"/>
      <c r="F472" s="109"/>
    </row>
    <row r="473" spans="4:6" ht="15">
      <c r="D473" s="65"/>
      <c r="E473" s="109"/>
      <c r="F473" s="109"/>
    </row>
    <row r="474" spans="4:6" ht="15">
      <c r="D474" s="65"/>
      <c r="E474" s="109"/>
      <c r="F474" s="109"/>
    </row>
    <row r="475" spans="4:6" ht="15">
      <c r="D475" s="65"/>
      <c r="E475" s="109"/>
      <c r="F475" s="109"/>
    </row>
    <row r="476" spans="4:6" ht="15">
      <c r="D476" s="65"/>
      <c r="E476" s="109"/>
      <c r="F476" s="109"/>
    </row>
    <row r="477" spans="4:6" ht="15">
      <c r="D477" s="65"/>
      <c r="E477" s="109"/>
      <c r="F477" s="109"/>
    </row>
    <row r="478" spans="4:6" ht="15">
      <c r="D478" s="65"/>
      <c r="E478" s="109"/>
      <c r="F478" s="109"/>
    </row>
    <row r="479" spans="4:6" ht="15">
      <c r="D479" s="65"/>
      <c r="E479" s="109"/>
      <c r="F479" s="109"/>
    </row>
    <row r="480" spans="4:6" ht="15">
      <c r="D480" s="65"/>
      <c r="E480" s="109"/>
      <c r="F480" s="109"/>
    </row>
    <row r="481" spans="4:6" ht="15">
      <c r="D481" s="65"/>
      <c r="E481" s="109"/>
      <c r="F481" s="109"/>
    </row>
    <row r="482" spans="4:6" ht="15">
      <c r="D482" s="65"/>
      <c r="E482" s="109"/>
      <c r="F482" s="109"/>
    </row>
    <row r="483" spans="4:6" ht="15">
      <c r="D483" s="65"/>
      <c r="E483" s="109"/>
      <c r="F483" s="109"/>
    </row>
    <row r="484" spans="4:6" ht="15">
      <c r="D484" s="65"/>
      <c r="E484" s="109"/>
      <c r="F484" s="109"/>
    </row>
    <row r="485" spans="4:6" ht="15">
      <c r="D485" s="65"/>
      <c r="E485" s="109"/>
      <c r="F485" s="109"/>
    </row>
    <row r="486" spans="4:6" ht="15">
      <c r="D486" s="65"/>
      <c r="E486" s="109"/>
      <c r="F486" s="109"/>
    </row>
    <row r="487" spans="4:6" ht="15">
      <c r="D487" s="65"/>
      <c r="E487" s="109"/>
      <c r="F487" s="109"/>
    </row>
    <row r="488" spans="4:6" ht="15">
      <c r="D488" s="65"/>
      <c r="E488" s="109"/>
      <c r="F488" s="109"/>
    </row>
    <row r="489" spans="4:6" ht="15">
      <c r="D489" s="65"/>
      <c r="E489" s="109"/>
      <c r="F489" s="109"/>
    </row>
    <row r="490" spans="4:6" ht="15">
      <c r="D490" s="65"/>
      <c r="E490" s="109"/>
      <c r="F490" s="109"/>
    </row>
    <row r="491" spans="4:6" ht="15">
      <c r="D491" s="65"/>
      <c r="E491" s="109"/>
      <c r="F491" s="109"/>
    </row>
    <row r="492" spans="4:6" ht="15">
      <c r="D492" s="65"/>
      <c r="E492" s="109"/>
      <c r="F492" s="109"/>
    </row>
    <row r="493" spans="4:6" ht="15">
      <c r="D493" s="65"/>
      <c r="E493" s="109"/>
      <c r="F493" s="109"/>
    </row>
    <row r="494" spans="4:6" ht="15">
      <c r="D494" s="65"/>
      <c r="E494" s="109"/>
      <c r="F494" s="109"/>
    </row>
    <row r="495" spans="4:6" ht="15">
      <c r="D495" s="65"/>
      <c r="E495" s="109"/>
      <c r="F495" s="109"/>
    </row>
    <row r="496" spans="4:6" ht="15">
      <c r="D496" s="65"/>
      <c r="E496" s="109"/>
      <c r="F496" s="109"/>
    </row>
    <row r="497" spans="4:6" ht="15">
      <c r="D497" s="65"/>
      <c r="E497" s="109"/>
      <c r="F497" s="109"/>
    </row>
    <row r="498" spans="4:6" ht="15">
      <c r="D498" s="65"/>
      <c r="E498" s="109"/>
      <c r="F498" s="109"/>
    </row>
    <row r="499" spans="4:6" ht="15">
      <c r="D499" s="65"/>
      <c r="E499" s="109"/>
      <c r="F499" s="109"/>
    </row>
    <row r="500" spans="4:6" ht="15">
      <c r="D500" s="65"/>
      <c r="E500" s="109"/>
      <c r="F500" s="109"/>
    </row>
    <row r="501" spans="4:6" ht="15">
      <c r="D501" s="65"/>
      <c r="E501" s="109"/>
      <c r="F501" s="109"/>
    </row>
    <row r="502" spans="4:6" ht="15">
      <c r="D502" s="65"/>
      <c r="E502" s="109"/>
      <c r="F502" s="109"/>
    </row>
    <row r="503" spans="4:6" ht="15">
      <c r="D503" s="65"/>
      <c r="E503" s="109"/>
      <c r="F503" s="109"/>
    </row>
    <row r="504" spans="4:6" ht="15">
      <c r="D504" s="65"/>
      <c r="E504" s="109"/>
      <c r="F504" s="109"/>
    </row>
    <row r="505" spans="4:6" ht="15">
      <c r="D505" s="65"/>
      <c r="E505" s="109"/>
      <c r="F505" s="109"/>
    </row>
    <row r="506" spans="4:6" ht="15">
      <c r="D506" s="65"/>
      <c r="E506" s="109"/>
      <c r="F506" s="109"/>
    </row>
    <row r="507" spans="4:6" ht="15">
      <c r="D507" s="65"/>
      <c r="E507" s="109"/>
      <c r="F507" s="109"/>
    </row>
    <row r="508" spans="4:6" ht="15">
      <c r="D508" s="65"/>
      <c r="E508" s="109"/>
      <c r="F508" s="109"/>
    </row>
    <row r="509" spans="4:6" ht="15">
      <c r="D509" s="65"/>
      <c r="E509" s="109"/>
      <c r="F509" s="109"/>
    </row>
    <row r="510" spans="4:6" ht="15">
      <c r="D510" s="65"/>
      <c r="E510" s="109"/>
      <c r="F510" s="109"/>
    </row>
    <row r="511" spans="4:6" ht="15">
      <c r="D511" s="65"/>
      <c r="E511" s="109"/>
      <c r="F511" s="109"/>
    </row>
    <row r="512" spans="4:6" ht="15">
      <c r="D512" s="65"/>
      <c r="E512" s="109"/>
      <c r="F512" s="109"/>
    </row>
    <row r="513" spans="4:6" ht="15">
      <c r="D513" s="65"/>
      <c r="E513" s="109"/>
      <c r="F513" s="109"/>
    </row>
    <row r="514" spans="4:6" ht="15">
      <c r="D514" s="65"/>
      <c r="E514" s="109"/>
      <c r="F514" s="109"/>
    </row>
    <row r="515" spans="4:6" ht="15">
      <c r="D515" s="65"/>
      <c r="E515" s="109"/>
      <c r="F515" s="109"/>
    </row>
    <row r="516" spans="4:6" ht="15">
      <c r="D516" s="65"/>
      <c r="E516" s="109"/>
      <c r="F516" s="109"/>
    </row>
    <row r="517" spans="4:6" ht="15">
      <c r="D517" s="65"/>
      <c r="E517" s="109"/>
      <c r="F517" s="109"/>
    </row>
    <row r="518" spans="4:6" ht="15">
      <c r="D518" s="65"/>
      <c r="E518" s="109"/>
      <c r="F518" s="109"/>
    </row>
    <row r="519" spans="4:6" ht="15">
      <c r="D519" s="65"/>
      <c r="E519" s="109"/>
      <c r="F519" s="109"/>
    </row>
    <row r="520" spans="4:6" ht="15">
      <c r="D520" s="65"/>
      <c r="E520" s="109"/>
      <c r="F520" s="109"/>
    </row>
    <row r="521" spans="4:6" ht="15">
      <c r="D521" s="65"/>
      <c r="E521" s="109"/>
      <c r="F521" s="109"/>
    </row>
    <row r="522" spans="4:6" ht="15">
      <c r="D522" s="65"/>
      <c r="E522" s="109"/>
      <c r="F522" s="109"/>
    </row>
    <row r="523" spans="4:6" ht="15">
      <c r="D523" s="65"/>
      <c r="E523" s="109"/>
      <c r="F523" s="109"/>
    </row>
    <row r="524" spans="4:6" ht="15">
      <c r="D524" s="65"/>
      <c r="E524" s="109"/>
      <c r="F524" s="109"/>
    </row>
    <row r="525" spans="4:6" ht="15">
      <c r="D525" s="65"/>
      <c r="E525" s="109"/>
      <c r="F525" s="109"/>
    </row>
    <row r="526" spans="4:6" ht="15">
      <c r="D526" s="65"/>
      <c r="E526" s="109"/>
      <c r="F526" s="109"/>
    </row>
    <row r="527" spans="4:6" ht="15">
      <c r="D527" s="65"/>
      <c r="E527" s="109"/>
      <c r="F527" s="109"/>
    </row>
    <row r="528" spans="4:6" ht="15">
      <c r="D528" s="65"/>
      <c r="E528" s="109"/>
      <c r="F528" s="109"/>
    </row>
    <row r="529" spans="4:6" ht="15">
      <c r="D529" s="65"/>
      <c r="E529" s="109"/>
      <c r="F529" s="109"/>
    </row>
    <row r="530" spans="4:6" ht="15">
      <c r="D530" s="65"/>
      <c r="E530" s="109"/>
      <c r="F530" s="109"/>
    </row>
    <row r="531" spans="4:6" ht="15">
      <c r="D531" s="65"/>
      <c r="E531" s="109"/>
      <c r="F531" s="109"/>
    </row>
    <row r="532" spans="4:6" ht="15">
      <c r="D532" s="65"/>
      <c r="E532" s="109"/>
      <c r="F532" s="109"/>
    </row>
    <row r="533" spans="4:6" ht="15">
      <c r="D533" s="65"/>
      <c r="E533" s="109"/>
      <c r="F533" s="109"/>
    </row>
    <row r="534" spans="4:6" ht="15">
      <c r="D534" s="65"/>
      <c r="E534" s="109"/>
      <c r="F534" s="109"/>
    </row>
    <row r="535" spans="4:6" ht="15">
      <c r="D535" s="65"/>
      <c r="E535" s="109"/>
      <c r="F535" s="109"/>
    </row>
    <row r="536" spans="4:6" ht="15">
      <c r="D536" s="65"/>
      <c r="E536" s="109"/>
      <c r="F536" s="109"/>
    </row>
    <row r="537" spans="4:6" ht="15">
      <c r="D537" s="65"/>
      <c r="E537" s="109"/>
      <c r="F537" s="109"/>
    </row>
    <row r="538" spans="4:6" ht="15">
      <c r="D538" s="65"/>
      <c r="E538" s="109"/>
      <c r="F538" s="109"/>
    </row>
    <row r="539" spans="4:6" ht="15">
      <c r="D539" s="65"/>
      <c r="E539" s="109"/>
      <c r="F539" s="109"/>
    </row>
    <row r="540" spans="4:6" ht="15">
      <c r="D540" s="65"/>
      <c r="E540" s="109"/>
      <c r="F540" s="109"/>
    </row>
    <row r="541" spans="4:6" ht="15">
      <c r="D541" s="65"/>
      <c r="E541" s="109"/>
      <c r="F541" s="109"/>
    </row>
    <row r="542" spans="4:6" ht="15">
      <c r="D542" s="65"/>
      <c r="E542" s="109"/>
      <c r="F542" s="109"/>
    </row>
    <row r="543" spans="4:6" ht="15">
      <c r="D543" s="65"/>
      <c r="E543" s="109"/>
      <c r="F543" s="109"/>
    </row>
    <row r="544" spans="4:6" ht="15">
      <c r="D544" s="65"/>
      <c r="E544" s="109"/>
      <c r="F544" s="109"/>
    </row>
    <row r="545" spans="4:6" ht="15">
      <c r="D545" s="65"/>
      <c r="E545" s="109"/>
      <c r="F545" s="109"/>
    </row>
    <row r="546" spans="4:6" ht="15">
      <c r="D546" s="65"/>
      <c r="E546" s="109"/>
      <c r="F546" s="109"/>
    </row>
    <row r="547" spans="4:6" ht="15">
      <c r="D547" s="65"/>
      <c r="E547" s="109"/>
      <c r="F547" s="109"/>
    </row>
    <row r="548" spans="4:6" ht="15">
      <c r="D548" s="65"/>
      <c r="E548" s="109"/>
      <c r="F548" s="109"/>
    </row>
    <row r="549" spans="4:6" ht="15">
      <c r="D549" s="65"/>
      <c r="E549" s="109"/>
      <c r="F549" s="109"/>
    </row>
    <row r="550" spans="4:6" ht="15">
      <c r="D550" s="65"/>
      <c r="E550" s="109"/>
      <c r="F550" s="109"/>
    </row>
    <row r="551" spans="4:6" ht="15">
      <c r="D551" s="65"/>
      <c r="E551" s="109"/>
      <c r="F551" s="109"/>
    </row>
    <row r="552" spans="4:6" ht="15">
      <c r="D552" s="65"/>
      <c r="E552" s="109"/>
      <c r="F552" s="109"/>
    </row>
    <row r="553" spans="4:6" ht="15">
      <c r="D553" s="65"/>
      <c r="E553" s="109"/>
      <c r="F553" s="109"/>
    </row>
    <row r="554" spans="4:6" ht="15">
      <c r="D554" s="65"/>
      <c r="E554" s="109"/>
      <c r="F554" s="109"/>
    </row>
    <row r="555" spans="4:6" ht="15">
      <c r="D555" s="65"/>
      <c r="E555" s="109"/>
      <c r="F555" s="109"/>
    </row>
    <row r="556" spans="4:6" ht="15">
      <c r="D556" s="65"/>
      <c r="E556" s="109"/>
      <c r="F556" s="109"/>
    </row>
    <row r="557" spans="4:6" ht="15">
      <c r="D557" s="65"/>
      <c r="E557" s="109"/>
      <c r="F557" s="109"/>
    </row>
    <row r="558" spans="4:6" ht="15">
      <c r="D558" s="65"/>
      <c r="E558" s="109"/>
      <c r="F558" s="109"/>
    </row>
    <row r="559" spans="4:6" ht="15">
      <c r="D559" s="65"/>
      <c r="E559" s="109"/>
      <c r="F559" s="109"/>
    </row>
    <row r="560" spans="4:6" ht="15">
      <c r="D560" s="65"/>
      <c r="E560" s="109"/>
      <c r="F560" s="109"/>
    </row>
    <row r="561" spans="4:6" ht="15">
      <c r="D561" s="65"/>
      <c r="E561" s="109"/>
      <c r="F561" s="109"/>
    </row>
    <row r="562" spans="4:6" ht="15">
      <c r="D562" s="65"/>
      <c r="E562" s="109"/>
      <c r="F562" s="109"/>
    </row>
    <row r="563" spans="4:6" ht="15">
      <c r="D563" s="65"/>
      <c r="E563" s="109"/>
      <c r="F563" s="109"/>
    </row>
    <row r="564" spans="4:6" ht="15">
      <c r="D564" s="65"/>
      <c r="E564" s="109"/>
      <c r="F564" s="109"/>
    </row>
    <row r="565" spans="4:6" ht="15">
      <c r="D565" s="65"/>
      <c r="E565" s="109"/>
      <c r="F565" s="109"/>
    </row>
    <row r="566" spans="4:6" ht="15">
      <c r="D566" s="65"/>
      <c r="E566" s="109"/>
      <c r="F566" s="109"/>
    </row>
    <row r="567" spans="4:6" ht="15">
      <c r="D567" s="65"/>
      <c r="E567" s="109"/>
      <c r="F567" s="109"/>
    </row>
    <row r="568" spans="4:6" ht="15">
      <c r="D568" s="65"/>
      <c r="E568" s="109"/>
      <c r="F568" s="109"/>
    </row>
    <row r="569" spans="4:6" ht="15">
      <c r="D569" s="65"/>
      <c r="E569" s="109"/>
      <c r="F569" s="109"/>
    </row>
    <row r="570" spans="4:6" ht="15">
      <c r="D570" s="65"/>
      <c r="E570" s="109"/>
      <c r="F570" s="109"/>
    </row>
    <row r="571" spans="4:6" ht="15">
      <c r="D571" s="65"/>
      <c r="E571" s="109"/>
      <c r="F571" s="109"/>
    </row>
    <row r="572" spans="4:6" ht="15">
      <c r="D572" s="65"/>
      <c r="E572" s="109"/>
      <c r="F572" s="109"/>
    </row>
    <row r="573" spans="4:6" ht="15">
      <c r="D573" s="65"/>
      <c r="E573" s="109"/>
      <c r="F573" s="109"/>
    </row>
    <row r="574" spans="4:6" ht="15">
      <c r="D574" s="65"/>
      <c r="E574" s="109"/>
      <c r="F574" s="109"/>
    </row>
    <row r="575" spans="4:6" ht="15">
      <c r="D575" s="65"/>
      <c r="E575" s="109"/>
      <c r="F575" s="109"/>
    </row>
    <row r="576" spans="4:6" ht="15">
      <c r="D576" s="65"/>
      <c r="E576" s="109"/>
      <c r="F576" s="109"/>
    </row>
    <row r="577" spans="4:6" ht="15">
      <c r="D577" s="65"/>
      <c r="E577" s="109"/>
      <c r="F577" s="109"/>
    </row>
    <row r="578" spans="4:6" ht="15">
      <c r="D578" s="65"/>
      <c r="E578" s="109"/>
      <c r="F578" s="109"/>
    </row>
    <row r="579" spans="4:6" ht="15">
      <c r="D579" s="65"/>
      <c r="E579" s="109"/>
      <c r="F579" s="109"/>
    </row>
    <row r="580" spans="4:6" ht="15">
      <c r="D580" s="65"/>
      <c r="E580" s="109"/>
      <c r="F580" s="109"/>
    </row>
    <row r="581" spans="4:6" ht="15">
      <c r="D581" s="65"/>
      <c r="E581" s="109"/>
      <c r="F581" s="109"/>
    </row>
    <row r="582" spans="4:6" ht="15">
      <c r="D582" s="65"/>
      <c r="E582" s="109"/>
      <c r="F582" s="109"/>
    </row>
    <row r="583" spans="4:6" ht="15">
      <c r="D583" s="65"/>
      <c r="E583" s="109"/>
      <c r="F583" s="109"/>
    </row>
    <row r="584" spans="4:6" ht="15">
      <c r="D584" s="65"/>
      <c r="E584" s="109"/>
      <c r="F584" s="109"/>
    </row>
    <row r="585" spans="4:6" ht="15">
      <c r="D585" s="65"/>
      <c r="E585" s="109"/>
      <c r="F585" s="109"/>
    </row>
    <row r="586" spans="4:6" ht="15">
      <c r="D586" s="65"/>
      <c r="E586" s="109"/>
      <c r="F586" s="109"/>
    </row>
    <row r="587" spans="4:6" ht="15">
      <c r="D587" s="65"/>
      <c r="E587" s="109"/>
      <c r="F587" s="109"/>
    </row>
    <row r="588" spans="4:6" ht="15">
      <c r="D588" s="65"/>
      <c r="E588" s="109"/>
      <c r="F588" s="109"/>
    </row>
    <row r="589" spans="4:6" ht="15">
      <c r="D589" s="65"/>
      <c r="E589" s="109"/>
      <c r="F589" s="109"/>
    </row>
    <row r="590" spans="4:6" ht="15">
      <c r="D590" s="65"/>
      <c r="E590" s="109"/>
      <c r="F590" s="109"/>
    </row>
    <row r="591" spans="4:6" ht="15">
      <c r="D591" s="65"/>
      <c r="E591" s="109"/>
      <c r="F591" s="109"/>
    </row>
    <row r="592" spans="4:6" ht="15">
      <c r="D592" s="65"/>
      <c r="E592" s="109"/>
      <c r="F592" s="109"/>
    </row>
    <row r="593" spans="4:6" ht="15">
      <c r="D593" s="65"/>
      <c r="E593" s="109"/>
      <c r="F593" s="109"/>
    </row>
    <row r="594" spans="4:6" ht="15">
      <c r="D594" s="65"/>
      <c r="E594" s="109"/>
      <c r="F594" s="109"/>
    </row>
    <row r="595" spans="4:6" ht="15">
      <c r="D595" s="65"/>
      <c r="E595" s="109"/>
      <c r="F595" s="109"/>
    </row>
    <row r="596" spans="4:6" ht="15">
      <c r="D596" s="65"/>
      <c r="E596" s="109"/>
      <c r="F596" s="109"/>
    </row>
    <row r="597" spans="4:6" ht="15">
      <c r="D597" s="65"/>
      <c r="E597" s="109"/>
      <c r="F597" s="109"/>
    </row>
    <row r="598" spans="4:6" ht="15">
      <c r="D598" s="65"/>
      <c r="E598" s="109"/>
      <c r="F598" s="109"/>
    </row>
    <row r="599" spans="4:6" ht="15">
      <c r="D599" s="65"/>
      <c r="E599" s="109"/>
      <c r="F599" s="109"/>
    </row>
    <row r="600" spans="4:6" ht="15">
      <c r="D600" s="65"/>
      <c r="E600" s="109"/>
      <c r="F600" s="109"/>
    </row>
    <row r="601" spans="4:6" ht="15">
      <c r="D601" s="65"/>
      <c r="E601" s="109"/>
      <c r="F601" s="109"/>
    </row>
    <row r="602" spans="4:6" ht="15">
      <c r="D602" s="65"/>
      <c r="E602" s="109"/>
      <c r="F602" s="109"/>
    </row>
    <row r="603" spans="4:6" ht="15">
      <c r="D603" s="65"/>
      <c r="E603" s="109"/>
      <c r="F603" s="109"/>
    </row>
    <row r="604" spans="4:6" ht="15">
      <c r="D604" s="65"/>
      <c r="E604" s="109"/>
      <c r="F604" s="109"/>
    </row>
    <row r="605" spans="4:6" ht="15">
      <c r="D605" s="65"/>
      <c r="E605" s="109"/>
      <c r="F605" s="109"/>
    </row>
    <row r="606" spans="4:6" ht="15">
      <c r="D606" s="65"/>
      <c r="E606" s="109"/>
      <c r="F606" s="109"/>
    </row>
    <row r="607" spans="4:6" ht="15">
      <c r="D607" s="65"/>
      <c r="E607" s="109"/>
      <c r="F607" s="109"/>
    </row>
    <row r="608" spans="4:6" ht="15">
      <c r="D608" s="65"/>
      <c r="E608" s="109"/>
      <c r="F608" s="109"/>
    </row>
    <row r="609" spans="4:6" ht="15">
      <c r="D609" s="65"/>
      <c r="E609" s="109"/>
      <c r="F609" s="109"/>
    </row>
    <row r="610" spans="4:6" ht="15">
      <c r="D610" s="65"/>
      <c r="E610" s="109"/>
      <c r="F610" s="109"/>
    </row>
    <row r="611" spans="4:6" ht="15">
      <c r="D611" s="65"/>
      <c r="E611" s="109"/>
      <c r="F611" s="109"/>
    </row>
    <row r="612" spans="4:6" ht="15">
      <c r="D612" s="65"/>
      <c r="E612" s="109"/>
      <c r="F612" s="109"/>
    </row>
    <row r="613" spans="4:6" ht="15">
      <c r="D613" s="65"/>
      <c r="E613" s="109"/>
      <c r="F613" s="109"/>
    </row>
    <row r="614" spans="4:6" ht="15">
      <c r="D614" s="65"/>
      <c r="E614" s="109"/>
      <c r="F614" s="109"/>
    </row>
    <row r="615" spans="4:6" ht="15">
      <c r="D615" s="65"/>
      <c r="E615" s="109"/>
      <c r="F615" s="109"/>
    </row>
    <row r="616" spans="4:6" ht="15">
      <c r="D616" s="65"/>
      <c r="E616" s="109"/>
      <c r="F616" s="109"/>
    </row>
  </sheetData>
  <sheetProtection/>
  <mergeCells count="9">
    <mergeCell ref="V6:X6"/>
    <mergeCell ref="Y6:AA6"/>
    <mergeCell ref="L1:O1"/>
    <mergeCell ref="B73:C73"/>
    <mergeCell ref="I74:L74"/>
    <mergeCell ref="I75:L75"/>
    <mergeCell ref="Q6:R6"/>
    <mergeCell ref="Z2:AA2"/>
    <mergeCell ref="S6:U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6" r:id="rId1"/>
  <headerFooter alignWithMargins="0">
    <oddHeader>&amp;R1/b. sz. melléklet
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67"/>
  <sheetViews>
    <sheetView view="pageLayout" zoomScaleNormal="75" workbookViewId="0" topLeftCell="S1">
      <selection activeCell="T1" sqref="T1"/>
    </sheetView>
  </sheetViews>
  <sheetFormatPr defaultColWidth="9.140625" defaultRowHeight="12.75"/>
  <cols>
    <col min="1" max="1" width="4.7109375" style="6" customWidth="1"/>
    <col min="2" max="2" width="10.57421875" style="147" customWidth="1"/>
    <col min="3" max="3" width="29.00390625" style="6" customWidth="1"/>
    <col min="4" max="4" width="22.7109375" style="68" hidden="1" customWidth="1"/>
    <col min="5" max="5" width="11.57421875" style="9" hidden="1" customWidth="1"/>
    <col min="6" max="6" width="10.57421875" style="9" hidden="1" customWidth="1"/>
    <col min="7" max="7" width="12.57421875" style="9" hidden="1" customWidth="1"/>
    <col min="8" max="8" width="11.28125" style="9" hidden="1" customWidth="1"/>
    <col min="9" max="11" width="11.140625" style="9" hidden="1" customWidth="1"/>
    <col min="12" max="12" width="15.421875" style="9" hidden="1" customWidth="1"/>
    <col min="13" max="13" width="15.57421875" style="9" hidden="1" customWidth="1"/>
    <col min="14" max="14" width="14.57421875" style="7" hidden="1" customWidth="1"/>
    <col min="15" max="15" width="12.00390625" style="6" hidden="1" customWidth="1"/>
    <col min="16" max="16" width="15.57421875" style="6" hidden="1" customWidth="1"/>
    <col min="17" max="17" width="9.140625" style="6" hidden="1" customWidth="1"/>
    <col min="18" max="18" width="14.421875" style="6" bestFit="1" customWidth="1"/>
    <col min="19" max="19" width="12.28125" style="6" customWidth="1"/>
    <col min="20" max="20" width="10.421875" style="6" bestFit="1" customWidth="1"/>
    <col min="21" max="21" width="12.28125" style="6" bestFit="1" customWidth="1"/>
    <col min="22" max="22" width="13.57421875" style="6" customWidth="1"/>
    <col min="23" max="23" width="9.28125" style="6" bestFit="1" customWidth="1"/>
    <col min="24" max="24" width="11.7109375" style="6" bestFit="1" customWidth="1"/>
    <col min="25" max="25" width="16.8515625" style="6" bestFit="1" customWidth="1"/>
    <col min="26" max="26" width="9.28125" style="6" bestFit="1" customWidth="1"/>
    <col min="27" max="27" width="9.140625" style="6" customWidth="1"/>
    <col min="28" max="28" width="10.421875" style="6" bestFit="1" customWidth="1"/>
    <col min="29" max="16384" width="9.140625" style="6" customWidth="1"/>
  </cols>
  <sheetData>
    <row r="1" spans="9:14" ht="39" customHeight="1">
      <c r="I1" s="7"/>
      <c r="J1" s="7"/>
      <c r="K1" s="259"/>
      <c r="L1" s="259"/>
      <c r="M1" s="259"/>
      <c r="N1" s="259"/>
    </row>
    <row r="2" spans="3:26" ht="26.25" customHeight="1">
      <c r="C2" s="4" t="s">
        <v>45</v>
      </c>
      <c r="D2" s="40">
        <v>10000000</v>
      </c>
      <c r="E2" s="216">
        <v>177.1</v>
      </c>
      <c r="F2" s="6"/>
      <c r="G2" s="6"/>
      <c r="H2" s="6"/>
      <c r="I2" s="6"/>
      <c r="J2" s="6"/>
      <c r="K2" s="6">
        <v>241.06</v>
      </c>
      <c r="L2" s="6"/>
      <c r="M2" s="6"/>
      <c r="N2" s="6"/>
      <c r="O2" s="6">
        <v>242.14</v>
      </c>
      <c r="S2" s="7"/>
      <c r="U2" s="239">
        <f>'KÖTVÉNY I.-792'!V2</f>
        <v>261.85</v>
      </c>
      <c r="V2" s="26"/>
      <c r="W2" s="26"/>
      <c r="X2" s="26"/>
      <c r="Y2" s="259" t="s">
        <v>104</v>
      </c>
      <c r="Z2" s="259"/>
    </row>
    <row r="3" spans="4:26" ht="15.75" customHeight="1">
      <c r="D3" s="40">
        <f>D2*E2</f>
        <v>1771000000</v>
      </c>
      <c r="E3" s="4"/>
      <c r="F3" s="6"/>
      <c r="G3" s="6"/>
      <c r="H3" s="6"/>
      <c r="I3" s="6"/>
      <c r="J3" s="6"/>
      <c r="K3" s="6"/>
      <c r="L3" s="6"/>
      <c r="M3" s="6"/>
      <c r="N3" s="5"/>
      <c r="U3" s="26"/>
      <c r="V3" s="26"/>
      <c r="W3" s="26"/>
      <c r="X3" s="26"/>
      <c r="Y3" s="26"/>
      <c r="Z3" s="26"/>
    </row>
    <row r="4" spans="3:26" ht="32.25" customHeight="1">
      <c r="C4" s="5"/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  <c r="K4" s="4">
        <v>2012</v>
      </c>
      <c r="L4" s="4" t="s">
        <v>82</v>
      </c>
      <c r="M4" s="4" t="s">
        <v>82</v>
      </c>
      <c r="N4" s="4" t="s">
        <v>82</v>
      </c>
      <c r="O4" s="117" t="s">
        <v>99</v>
      </c>
      <c r="P4" s="249" t="s">
        <v>99</v>
      </c>
      <c r="Q4" s="249"/>
      <c r="R4" s="250" t="str">
        <f>'KÖTVÉNY I.-792'!S6</f>
        <v>2005-2013.</v>
      </c>
      <c r="S4" s="250"/>
      <c r="T4" s="250"/>
      <c r="U4" s="249" t="s">
        <v>109</v>
      </c>
      <c r="V4" s="249"/>
      <c r="W4" s="249"/>
      <c r="X4" s="257" t="s">
        <v>110</v>
      </c>
      <c r="Y4" s="257"/>
      <c r="Z4" s="257"/>
    </row>
    <row r="5" spans="3:26" ht="13.5" customHeight="1">
      <c r="C5" s="5"/>
      <c r="E5" s="7"/>
      <c r="F5" s="7"/>
      <c r="G5" s="7"/>
      <c r="H5" s="4"/>
      <c r="I5" s="4"/>
      <c r="J5" s="4"/>
      <c r="K5" s="4"/>
      <c r="L5" s="4" t="s">
        <v>84</v>
      </c>
      <c r="M5" s="4" t="s">
        <v>49</v>
      </c>
      <c r="N5" s="4" t="s">
        <v>85</v>
      </c>
      <c r="O5" s="4" t="s">
        <v>84</v>
      </c>
      <c r="P5" s="4" t="s">
        <v>49</v>
      </c>
      <c r="Q5" s="4" t="s">
        <v>85</v>
      </c>
      <c r="R5" s="4" t="s">
        <v>84</v>
      </c>
      <c r="S5" s="4" t="s">
        <v>49</v>
      </c>
      <c r="T5" s="4" t="s">
        <v>85</v>
      </c>
      <c r="U5" s="24" t="s">
        <v>84</v>
      </c>
      <c r="V5" s="24" t="s">
        <v>49</v>
      </c>
      <c r="W5" s="24" t="s">
        <v>85</v>
      </c>
      <c r="X5" s="4" t="s">
        <v>84</v>
      </c>
      <c r="Y5" s="24" t="s">
        <v>49</v>
      </c>
      <c r="Z5" s="24" t="s">
        <v>85</v>
      </c>
    </row>
    <row r="6" spans="3:26" ht="13.5" customHeight="1">
      <c r="C6" s="5"/>
      <c r="E6" s="7"/>
      <c r="F6" s="7"/>
      <c r="G6" s="7"/>
      <c r="H6" s="4"/>
      <c r="I6" s="4"/>
      <c r="J6" s="4"/>
      <c r="K6" s="4"/>
      <c r="L6" s="7"/>
      <c r="M6" s="79">
        <v>0.64619</v>
      </c>
      <c r="N6" s="79">
        <f>1-M6</f>
        <v>0.35380999999999996</v>
      </c>
      <c r="O6" s="79"/>
      <c r="P6" s="79">
        <v>0.64619</v>
      </c>
      <c r="Q6" s="79">
        <f>1-P6</f>
        <v>0.35380999999999996</v>
      </c>
      <c r="R6" s="88"/>
      <c r="S6" s="79">
        <v>0.64619</v>
      </c>
      <c r="T6" s="79">
        <f>1-S6</f>
        <v>0.35380999999999996</v>
      </c>
      <c r="U6" s="79"/>
      <c r="V6" s="79">
        <v>0.64619</v>
      </c>
      <c r="W6" s="79">
        <f>1-V6</f>
        <v>0.35380999999999996</v>
      </c>
      <c r="X6" s="88"/>
      <c r="Y6" s="79">
        <v>0.64619</v>
      </c>
      <c r="Z6" s="79">
        <f>1-Y6</f>
        <v>0.35380999999999996</v>
      </c>
    </row>
    <row r="7" spans="3:26" ht="13.5" customHeight="1">
      <c r="C7" s="5"/>
      <c r="E7" s="7"/>
      <c r="F7" s="7"/>
      <c r="G7" s="7"/>
      <c r="H7" s="4"/>
      <c r="I7" s="4"/>
      <c r="J7" s="4"/>
      <c r="K7" s="4"/>
      <c r="L7" s="7"/>
      <c r="M7" s="4"/>
      <c r="U7" s="24"/>
      <c r="V7" s="24"/>
      <c r="W7" s="24"/>
      <c r="X7" s="4"/>
      <c r="Y7" s="24"/>
      <c r="Z7" s="24"/>
    </row>
    <row r="8" spans="3:26" ht="13.5" customHeight="1">
      <c r="C8" s="5"/>
      <c r="E8" s="7"/>
      <c r="F8" s="7"/>
      <c r="G8" s="7"/>
      <c r="H8" s="4"/>
      <c r="I8" s="4"/>
      <c r="J8" s="4"/>
      <c r="K8" s="4"/>
      <c r="L8" s="7"/>
      <c r="M8" s="4"/>
      <c r="U8" s="79"/>
      <c r="V8" s="87"/>
      <c r="W8" s="88"/>
      <c r="X8" s="88"/>
      <c r="Y8" s="87"/>
      <c r="Z8" s="88"/>
    </row>
    <row r="9" spans="2:13" ht="15">
      <c r="B9" s="148" t="s">
        <v>24</v>
      </c>
      <c r="C9" s="5"/>
      <c r="D9" s="68" t="s">
        <v>56</v>
      </c>
      <c r="E9" s="7"/>
      <c r="F9" s="7"/>
      <c r="G9" s="7"/>
      <c r="H9" s="7"/>
      <c r="I9" s="7"/>
      <c r="J9" s="7"/>
      <c r="K9" s="7"/>
      <c r="L9" s="7"/>
      <c r="M9" s="7"/>
    </row>
    <row r="10" spans="3:13" ht="15.75" customHeight="1">
      <c r="C10" s="149" t="s">
        <v>27</v>
      </c>
      <c r="D10" s="150"/>
      <c r="E10" s="7"/>
      <c r="F10" s="7"/>
      <c r="G10" s="7"/>
      <c r="H10" s="7"/>
      <c r="I10" s="7"/>
      <c r="J10" s="7"/>
      <c r="K10" s="7"/>
      <c r="L10" s="7"/>
      <c r="M10" s="7"/>
    </row>
    <row r="11" spans="2:26" ht="16.5" customHeight="1">
      <c r="B11" s="147">
        <v>1</v>
      </c>
      <c r="C11" s="6" t="s">
        <v>19</v>
      </c>
      <c r="D11" s="68">
        <v>433</v>
      </c>
      <c r="E11" s="75">
        <v>1770997</v>
      </c>
      <c r="L11" s="8">
        <f>SUM(E11:K11)</f>
        <v>1770997</v>
      </c>
      <c r="N11" s="8"/>
      <c r="P11" s="12"/>
      <c r="Q11" s="12"/>
      <c r="R11" s="12">
        <f>L11</f>
        <v>1770997</v>
      </c>
      <c r="S11" s="12"/>
      <c r="T11" s="12"/>
      <c r="X11" s="12">
        <f>R11</f>
        <v>1770997</v>
      </c>
      <c r="Y11" s="12"/>
      <c r="Z11" s="12"/>
    </row>
    <row r="12" spans="2:26" ht="15.75" customHeight="1">
      <c r="B12" s="151">
        <v>2</v>
      </c>
      <c r="C12" s="152" t="s">
        <v>20</v>
      </c>
      <c r="D12" s="153"/>
      <c r="E12" s="76"/>
      <c r="F12" s="76"/>
      <c r="G12" s="11"/>
      <c r="H12" s="11"/>
      <c r="I12" s="11"/>
      <c r="J12" s="11"/>
      <c r="K12" s="11"/>
      <c r="L12" s="10">
        <f>SUM(E12:K12)</f>
        <v>0</v>
      </c>
      <c r="M12" s="11"/>
      <c r="N12" s="10"/>
      <c r="P12" s="12"/>
      <c r="Q12" s="12"/>
      <c r="R12" s="12">
        <f>L12</f>
        <v>0</v>
      </c>
      <c r="S12" s="12"/>
      <c r="T12" s="12"/>
      <c r="U12" s="152"/>
      <c r="V12" s="152"/>
      <c r="W12" s="152"/>
      <c r="X12" s="12">
        <f>R12</f>
        <v>0</v>
      </c>
      <c r="Y12" s="12"/>
      <c r="Z12" s="12"/>
    </row>
    <row r="13" spans="2:26" ht="21" customHeight="1">
      <c r="B13" s="4" t="s">
        <v>23</v>
      </c>
      <c r="C13" s="5" t="s">
        <v>21</v>
      </c>
      <c r="E13" s="12">
        <f aca="true" t="shared" si="0" ref="E13:L13">SUM(E11:E12)</f>
        <v>1770997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1770997</v>
      </c>
      <c r="M13" s="12"/>
      <c r="N13" s="12"/>
      <c r="O13" s="217"/>
      <c r="P13" s="218"/>
      <c r="Q13" s="218"/>
      <c r="R13" s="218">
        <f>L13</f>
        <v>1770997</v>
      </c>
      <c r="S13" s="218"/>
      <c r="T13" s="218"/>
      <c r="X13" s="218">
        <f>R13</f>
        <v>1770997</v>
      </c>
      <c r="Y13" s="218"/>
      <c r="Z13" s="218"/>
    </row>
    <row r="14" spans="2:26" ht="7.5" customHeight="1">
      <c r="B14" s="4"/>
      <c r="C14" s="5"/>
      <c r="E14" s="12"/>
      <c r="F14" s="12"/>
      <c r="G14" s="12"/>
      <c r="H14" s="12"/>
      <c r="I14" s="12"/>
      <c r="J14" s="12"/>
      <c r="K14" s="12"/>
      <c r="L14" s="12"/>
      <c r="M14" s="12"/>
      <c r="N14" s="12"/>
      <c r="P14" s="12"/>
      <c r="Q14" s="12"/>
      <c r="R14" s="12"/>
      <c r="S14" s="12"/>
      <c r="T14" s="12"/>
      <c r="X14" s="12"/>
      <c r="Y14" s="12"/>
      <c r="Z14" s="12"/>
    </row>
    <row r="15" spans="3:26" ht="15">
      <c r="C15" s="149" t="s">
        <v>28</v>
      </c>
      <c r="D15" s="150"/>
      <c r="L15" s="7"/>
      <c r="P15" s="12"/>
      <c r="Q15" s="12"/>
      <c r="R15" s="12"/>
      <c r="S15" s="12"/>
      <c r="T15" s="12"/>
      <c r="X15" s="12"/>
      <c r="Y15" s="12"/>
      <c r="Z15" s="12"/>
    </row>
    <row r="16" spans="2:28" ht="15">
      <c r="B16" s="147">
        <v>3</v>
      </c>
      <c r="C16" s="6" t="s">
        <v>10</v>
      </c>
      <c r="D16" s="68">
        <v>47737</v>
      </c>
      <c r="E16" s="13">
        <v>800000</v>
      </c>
      <c r="F16" s="13"/>
      <c r="G16" s="13"/>
      <c r="H16" s="13"/>
      <c r="I16" s="13"/>
      <c r="J16" s="13"/>
      <c r="K16" s="13"/>
      <c r="L16" s="8">
        <f>SUM(E16:K16)</f>
        <v>800000</v>
      </c>
      <c r="M16" s="12">
        <f>L16</f>
        <v>800000</v>
      </c>
      <c r="N16" s="8"/>
      <c r="P16" s="12"/>
      <c r="Q16" s="12"/>
      <c r="R16" s="12">
        <f aca="true" t="shared" si="1" ref="R16:R29">+L16+P16+Q16</f>
        <v>800000</v>
      </c>
      <c r="S16" s="12">
        <f>R16</f>
        <v>800000</v>
      </c>
      <c r="T16" s="12"/>
      <c r="X16" s="12">
        <f aca="true" t="shared" si="2" ref="X16:X26">+R16+V16+W16</f>
        <v>800000</v>
      </c>
      <c r="Y16" s="12">
        <f>X16</f>
        <v>800000</v>
      </c>
      <c r="Z16" s="12"/>
      <c r="AB16" s="248"/>
    </row>
    <row r="17" spans="2:34" ht="15">
      <c r="B17" s="147">
        <v>4</v>
      </c>
      <c r="C17" s="6" t="s">
        <v>48</v>
      </c>
      <c r="D17" s="68" t="s">
        <v>60</v>
      </c>
      <c r="E17" s="13"/>
      <c r="F17" s="13">
        <v>74543</v>
      </c>
      <c r="G17" s="13">
        <v>-74543</v>
      </c>
      <c r="H17" s="13">
        <v>249390</v>
      </c>
      <c r="I17" s="13">
        <v>100909</v>
      </c>
      <c r="J17" s="13">
        <v>112788</v>
      </c>
      <c r="K17" s="13">
        <v>116274</v>
      </c>
      <c r="L17" s="8">
        <f>SUM(E17:K17)</f>
        <v>579361</v>
      </c>
      <c r="M17" s="12">
        <f>L17</f>
        <v>579361</v>
      </c>
      <c r="N17" s="8"/>
      <c r="O17" s="119">
        <f>SUM(P17:Q17)</f>
        <v>118544</v>
      </c>
      <c r="P17" s="12">
        <f>121500-2956</f>
        <v>118544</v>
      </c>
      <c r="Q17" s="12"/>
      <c r="R17" s="12">
        <f t="shared" si="1"/>
        <v>697905</v>
      </c>
      <c r="S17" s="12">
        <f>R17</f>
        <v>697905</v>
      </c>
      <c r="T17" s="12"/>
      <c r="U17" s="213">
        <v>115555</v>
      </c>
      <c r="V17" s="71">
        <v>115555</v>
      </c>
      <c r="X17" s="12">
        <f t="shared" si="2"/>
        <v>813460</v>
      </c>
      <c r="Y17" s="12">
        <f>X17</f>
        <v>813460</v>
      </c>
      <c r="Z17" s="12"/>
      <c r="AA17" s="241"/>
      <c r="AB17" s="248"/>
      <c r="AC17" s="241"/>
      <c r="AD17" s="241"/>
      <c r="AE17" s="241"/>
      <c r="AF17" s="241"/>
      <c r="AG17" s="241"/>
      <c r="AH17" s="241"/>
    </row>
    <row r="18" spans="2:34" s="152" customFormat="1" ht="17.25" customHeight="1">
      <c r="B18" s="151">
        <v>5</v>
      </c>
      <c r="C18" s="152" t="s">
        <v>54</v>
      </c>
      <c r="D18" s="154" t="s">
        <v>66</v>
      </c>
      <c r="E18" s="11"/>
      <c r="F18" s="11"/>
      <c r="G18" s="11">
        <v>79398</v>
      </c>
      <c r="H18" s="11">
        <f>9209+29827+3534+318+34427+16800-18432</f>
        <v>75683</v>
      </c>
      <c r="I18" s="11">
        <v>-16486</v>
      </c>
      <c r="J18" s="11">
        <v>7390</v>
      </c>
      <c r="K18" s="11">
        <v>468</v>
      </c>
      <c r="L18" s="10">
        <f>SUM(E18:K18)</f>
        <v>146453</v>
      </c>
      <c r="M18" s="10">
        <f>L18</f>
        <v>146453</v>
      </c>
      <c r="N18" s="10"/>
      <c r="P18" s="10"/>
      <c r="Q18" s="10"/>
      <c r="R18" s="10">
        <f t="shared" si="1"/>
        <v>146453</v>
      </c>
      <c r="S18" s="10">
        <f>R18</f>
        <v>146453</v>
      </c>
      <c r="T18" s="10"/>
      <c r="V18" s="10"/>
      <c r="X18" s="10">
        <f t="shared" si="2"/>
        <v>146453</v>
      </c>
      <c r="Y18" s="10">
        <f>X18</f>
        <v>146453</v>
      </c>
      <c r="Z18" s="10"/>
      <c r="AA18" s="240"/>
      <c r="AB18" s="248"/>
      <c r="AC18" s="240"/>
      <c r="AD18" s="240"/>
      <c r="AE18" s="240"/>
      <c r="AF18" s="240"/>
      <c r="AG18" s="240"/>
      <c r="AH18" s="240"/>
    </row>
    <row r="19" spans="2:34" ht="17.25" customHeight="1">
      <c r="B19" s="73" t="s">
        <v>76</v>
      </c>
      <c r="D19" s="155"/>
      <c r="E19" s="12">
        <f aca="true" t="shared" si="3" ref="E19:P19">SUM(E16:E18)</f>
        <v>800000</v>
      </c>
      <c r="F19" s="12">
        <f t="shared" si="3"/>
        <v>74543</v>
      </c>
      <c r="G19" s="12">
        <f t="shared" si="3"/>
        <v>4855</v>
      </c>
      <c r="H19" s="12">
        <f t="shared" si="3"/>
        <v>325073</v>
      </c>
      <c r="I19" s="12">
        <f t="shared" si="3"/>
        <v>84423</v>
      </c>
      <c r="J19" s="12">
        <f t="shared" si="3"/>
        <v>120178</v>
      </c>
      <c r="K19" s="12">
        <f t="shared" si="3"/>
        <v>116742</v>
      </c>
      <c r="L19" s="12">
        <f t="shared" si="3"/>
        <v>1525814</v>
      </c>
      <c r="M19" s="12">
        <f t="shared" si="3"/>
        <v>1525814</v>
      </c>
      <c r="N19" s="12"/>
      <c r="O19" s="12">
        <f t="shared" si="3"/>
        <v>118544</v>
      </c>
      <c r="P19" s="12">
        <f t="shared" si="3"/>
        <v>118544</v>
      </c>
      <c r="Q19" s="12"/>
      <c r="R19" s="12">
        <f t="shared" si="1"/>
        <v>1644358</v>
      </c>
      <c r="S19" s="12">
        <f>R19</f>
        <v>1644358</v>
      </c>
      <c r="T19" s="12"/>
      <c r="U19" s="12">
        <f>SUM(U16:U18)</f>
        <v>115555</v>
      </c>
      <c r="V19" s="12">
        <f>SUM(V16:V18)</f>
        <v>115555</v>
      </c>
      <c r="X19" s="12">
        <f t="shared" si="2"/>
        <v>1759913</v>
      </c>
      <c r="Y19" s="12">
        <f>X19</f>
        <v>1759913</v>
      </c>
      <c r="Z19" s="12"/>
      <c r="AA19" s="240"/>
      <c r="AB19" s="248"/>
      <c r="AC19" s="240"/>
      <c r="AD19" s="240"/>
      <c r="AE19" s="240"/>
      <c r="AF19" s="240"/>
      <c r="AG19" s="240"/>
      <c r="AH19" s="240"/>
    </row>
    <row r="20" spans="2:34" ht="15">
      <c r="B20" s="147">
        <v>6</v>
      </c>
      <c r="C20" s="6" t="s">
        <v>9</v>
      </c>
      <c r="D20" s="68">
        <v>47738</v>
      </c>
      <c r="E20" s="13">
        <v>24000</v>
      </c>
      <c r="F20" s="13">
        <v>160000</v>
      </c>
      <c r="G20" s="13"/>
      <c r="H20" s="13"/>
      <c r="I20" s="13"/>
      <c r="J20" s="13"/>
      <c r="K20" s="13"/>
      <c r="L20" s="8">
        <f>SUM(E20:K20)</f>
        <v>184000</v>
      </c>
      <c r="M20" s="12"/>
      <c r="N20" s="8">
        <f>L20</f>
        <v>184000</v>
      </c>
      <c r="P20" s="12"/>
      <c r="Q20" s="12"/>
      <c r="R20" s="12">
        <f t="shared" si="1"/>
        <v>184000</v>
      </c>
      <c r="S20" s="12"/>
      <c r="T20" s="12">
        <f aca="true" t="shared" si="4" ref="T20:T25">R20</f>
        <v>184000</v>
      </c>
      <c r="V20" s="12"/>
      <c r="X20" s="12">
        <f t="shared" si="2"/>
        <v>184000</v>
      </c>
      <c r="Y20" s="12"/>
      <c r="Z20" s="12">
        <f aca="true" t="shared" si="5" ref="Z20:Z25">X20</f>
        <v>184000</v>
      </c>
      <c r="AA20" s="240"/>
      <c r="AB20" s="248"/>
      <c r="AC20" s="240"/>
      <c r="AD20" s="240"/>
      <c r="AE20" s="240"/>
      <c r="AF20" s="240"/>
      <c r="AG20" s="240"/>
      <c r="AH20" s="240"/>
    </row>
    <row r="21" spans="2:34" ht="24.75" customHeight="1" hidden="1">
      <c r="B21" s="156"/>
      <c r="C21" s="157" t="s">
        <v>55</v>
      </c>
      <c r="D21" s="158" t="s">
        <v>64</v>
      </c>
      <c r="E21" s="15"/>
      <c r="F21" s="15"/>
      <c r="G21" s="15">
        <f>1082900-300000</f>
        <v>782900</v>
      </c>
      <c r="H21" s="15">
        <f>1299586+23400-72745-782900</f>
        <v>467341</v>
      </c>
      <c r="I21" s="15"/>
      <c r="J21" s="15"/>
      <c r="K21" s="15"/>
      <c r="L21" s="58"/>
      <c r="M21" s="58"/>
      <c r="N21" s="8">
        <f>L21</f>
        <v>0</v>
      </c>
      <c r="P21" s="12"/>
      <c r="Q21" s="12"/>
      <c r="R21" s="12">
        <f t="shared" si="1"/>
        <v>0</v>
      </c>
      <c r="S21" s="12"/>
      <c r="T21" s="12">
        <f t="shared" si="4"/>
        <v>0</v>
      </c>
      <c r="V21" s="12"/>
      <c r="X21" s="12">
        <f t="shared" si="2"/>
        <v>0</v>
      </c>
      <c r="Y21" s="12"/>
      <c r="Z21" s="12">
        <f t="shared" si="5"/>
        <v>0</v>
      </c>
      <c r="AA21" s="240"/>
      <c r="AB21" s="248"/>
      <c r="AC21" s="240"/>
      <c r="AD21" s="240"/>
      <c r="AE21" s="240"/>
      <c r="AF21" s="240"/>
      <c r="AG21" s="240"/>
      <c r="AH21" s="240"/>
    </row>
    <row r="22" spans="2:34" ht="24" customHeight="1" hidden="1">
      <c r="B22" s="156"/>
      <c r="C22" s="157" t="s">
        <v>53</v>
      </c>
      <c r="D22" s="158">
        <v>477381</v>
      </c>
      <c r="E22" s="15"/>
      <c r="F22" s="15"/>
      <c r="G22" s="15"/>
      <c r="H22" s="15">
        <f>-(1250241-1177025)-72745-40296</f>
        <v>-186257</v>
      </c>
      <c r="I22" s="15">
        <v>40296</v>
      </c>
      <c r="J22" s="15"/>
      <c r="K22" s="15"/>
      <c r="L22" s="58"/>
      <c r="M22" s="58"/>
      <c r="N22" s="8">
        <f>L22</f>
        <v>0</v>
      </c>
      <c r="P22" s="12"/>
      <c r="Q22" s="12"/>
      <c r="R22" s="12">
        <f t="shared" si="1"/>
        <v>0</v>
      </c>
      <c r="S22" s="12"/>
      <c r="T22" s="12">
        <f t="shared" si="4"/>
        <v>0</v>
      </c>
      <c r="V22" s="12"/>
      <c r="X22" s="12">
        <f t="shared" si="2"/>
        <v>0</v>
      </c>
      <c r="Y22" s="12"/>
      <c r="Z22" s="12">
        <f t="shared" si="5"/>
        <v>0</v>
      </c>
      <c r="AA22" s="240"/>
      <c r="AB22" s="248"/>
      <c r="AC22" s="240"/>
      <c r="AD22" s="240"/>
      <c r="AE22" s="240"/>
      <c r="AF22" s="240"/>
      <c r="AG22" s="240"/>
      <c r="AH22" s="240"/>
    </row>
    <row r="23" spans="2:34" ht="15" customHeight="1" hidden="1">
      <c r="B23" s="156"/>
      <c r="C23" s="157" t="s">
        <v>46</v>
      </c>
      <c r="D23" s="158">
        <v>477381</v>
      </c>
      <c r="E23" s="15"/>
      <c r="F23" s="15"/>
      <c r="G23" s="15"/>
      <c r="H23" s="15">
        <v>-588503</v>
      </c>
      <c r="I23" s="15"/>
      <c r="J23" s="15"/>
      <c r="K23" s="15"/>
      <c r="L23" s="58"/>
      <c r="M23" s="58"/>
      <c r="N23" s="8">
        <f>L23</f>
        <v>0</v>
      </c>
      <c r="P23" s="12"/>
      <c r="Q23" s="12"/>
      <c r="R23" s="12">
        <f t="shared" si="1"/>
        <v>0</v>
      </c>
      <c r="S23" s="12"/>
      <c r="T23" s="12">
        <f t="shared" si="4"/>
        <v>0</v>
      </c>
      <c r="V23" s="12"/>
      <c r="X23" s="12">
        <f t="shared" si="2"/>
        <v>0</v>
      </c>
      <c r="Y23" s="12"/>
      <c r="Z23" s="12">
        <f t="shared" si="5"/>
        <v>0</v>
      </c>
      <c r="AA23" s="240"/>
      <c r="AB23" s="248"/>
      <c r="AC23" s="240"/>
      <c r="AD23" s="240"/>
      <c r="AE23" s="240"/>
      <c r="AF23" s="240"/>
      <c r="AG23" s="240"/>
      <c r="AH23" s="240"/>
    </row>
    <row r="24" spans="2:34" s="152" customFormat="1" ht="15" customHeight="1">
      <c r="B24" s="182">
        <v>7</v>
      </c>
      <c r="C24" s="159" t="s">
        <v>72</v>
      </c>
      <c r="D24" s="160"/>
      <c r="E24" s="16">
        <f aca="true" t="shared" si="6" ref="E24:K24">SUM(E21:E23)</f>
        <v>0</v>
      </c>
      <c r="F24" s="16">
        <f t="shared" si="6"/>
        <v>0</v>
      </c>
      <c r="G24" s="16">
        <f t="shared" si="6"/>
        <v>782900</v>
      </c>
      <c r="H24" s="16">
        <f t="shared" si="6"/>
        <v>-307419</v>
      </c>
      <c r="I24" s="16">
        <f t="shared" si="6"/>
        <v>40296</v>
      </c>
      <c r="J24" s="16">
        <f t="shared" si="6"/>
        <v>0</v>
      </c>
      <c r="K24" s="16">
        <f t="shared" si="6"/>
        <v>0</v>
      </c>
      <c r="L24" s="10">
        <f>SUM(E24:K24)</f>
        <v>515777</v>
      </c>
      <c r="M24" s="80"/>
      <c r="N24" s="10">
        <f>L24</f>
        <v>515777</v>
      </c>
      <c r="P24" s="10"/>
      <c r="Q24" s="10"/>
      <c r="R24" s="10">
        <f t="shared" si="1"/>
        <v>515777</v>
      </c>
      <c r="S24" s="10"/>
      <c r="T24" s="10">
        <f t="shared" si="4"/>
        <v>515777</v>
      </c>
      <c r="V24" s="10"/>
      <c r="X24" s="10">
        <f t="shared" si="2"/>
        <v>515777</v>
      </c>
      <c r="Y24" s="10"/>
      <c r="Z24" s="10">
        <f t="shared" si="5"/>
        <v>515777</v>
      </c>
      <c r="AA24" s="240"/>
      <c r="AB24" s="248"/>
      <c r="AC24" s="240"/>
      <c r="AD24" s="240"/>
      <c r="AE24" s="240"/>
      <c r="AF24" s="240"/>
      <c r="AG24" s="240"/>
      <c r="AH24" s="240"/>
    </row>
    <row r="25" spans="2:34" s="184" customFormat="1" ht="15">
      <c r="B25" s="92" t="s">
        <v>74</v>
      </c>
      <c r="C25" s="92"/>
      <c r="D25" s="183"/>
      <c r="E25" s="94">
        <f aca="true" t="shared" si="7" ref="E25:L25">SUM(E24+E20)</f>
        <v>24000</v>
      </c>
      <c r="F25" s="94">
        <f t="shared" si="7"/>
        <v>160000</v>
      </c>
      <c r="G25" s="94">
        <f t="shared" si="7"/>
        <v>782900</v>
      </c>
      <c r="H25" s="94">
        <f t="shared" si="7"/>
        <v>-307419</v>
      </c>
      <c r="I25" s="94">
        <f t="shared" si="7"/>
        <v>40296</v>
      </c>
      <c r="J25" s="94">
        <f t="shared" si="7"/>
        <v>0</v>
      </c>
      <c r="K25" s="94">
        <f t="shared" si="7"/>
        <v>0</v>
      </c>
      <c r="L25" s="17">
        <f t="shared" si="7"/>
        <v>699777</v>
      </c>
      <c r="M25" s="94"/>
      <c r="N25" s="17">
        <f>SUM(E25:K25)</f>
        <v>699777</v>
      </c>
      <c r="O25" s="94"/>
      <c r="P25" s="17"/>
      <c r="Q25" s="17"/>
      <c r="R25" s="17">
        <f t="shared" si="1"/>
        <v>699777</v>
      </c>
      <c r="S25" s="17"/>
      <c r="T25" s="17">
        <f t="shared" si="4"/>
        <v>699777</v>
      </c>
      <c r="U25" s="94"/>
      <c r="V25" s="17"/>
      <c r="X25" s="17">
        <f t="shared" si="2"/>
        <v>699777</v>
      </c>
      <c r="Y25" s="17"/>
      <c r="Z25" s="17">
        <f t="shared" si="5"/>
        <v>699777</v>
      </c>
      <c r="AA25" s="240"/>
      <c r="AB25" s="248"/>
      <c r="AC25" s="240"/>
      <c r="AD25" s="240"/>
      <c r="AE25" s="240"/>
      <c r="AF25" s="240"/>
      <c r="AG25" s="240"/>
      <c r="AH25" s="240"/>
    </row>
    <row r="26" spans="2:34" s="189" customFormat="1" ht="19.5" customHeight="1">
      <c r="B26" s="185" t="s">
        <v>79</v>
      </c>
      <c r="C26" s="186" t="s">
        <v>28</v>
      </c>
      <c r="D26" s="187"/>
      <c r="E26" s="188">
        <f>SUM(E25+E19)</f>
        <v>824000</v>
      </c>
      <c r="F26" s="188">
        <f aca="true" t="shared" si="8" ref="F26:P26">SUM(F25+F19)</f>
        <v>234543</v>
      </c>
      <c r="G26" s="188">
        <f t="shared" si="8"/>
        <v>787755</v>
      </c>
      <c r="H26" s="188">
        <f t="shared" si="8"/>
        <v>17654</v>
      </c>
      <c r="I26" s="188">
        <f t="shared" si="8"/>
        <v>124719</v>
      </c>
      <c r="J26" s="188">
        <f t="shared" si="8"/>
        <v>120178</v>
      </c>
      <c r="K26" s="188">
        <f t="shared" si="8"/>
        <v>116742</v>
      </c>
      <c r="L26" s="188">
        <f t="shared" si="8"/>
        <v>2225591</v>
      </c>
      <c r="M26" s="188"/>
      <c r="N26" s="188">
        <f t="shared" si="8"/>
        <v>699777</v>
      </c>
      <c r="O26" s="188">
        <f t="shared" si="8"/>
        <v>118544</v>
      </c>
      <c r="P26" s="188">
        <f t="shared" si="8"/>
        <v>118544</v>
      </c>
      <c r="Q26" s="188"/>
      <c r="R26" s="188">
        <f t="shared" si="1"/>
        <v>2344135</v>
      </c>
      <c r="S26" s="188">
        <f>SUM(S19)</f>
        <v>1644358</v>
      </c>
      <c r="T26" s="188">
        <f>SUM(T25+T19)</f>
        <v>699777</v>
      </c>
      <c r="U26" s="188">
        <f>SUM(U25+U19)</f>
        <v>115555</v>
      </c>
      <c r="V26" s="188">
        <f>SUM(V25+V19)</f>
        <v>115555</v>
      </c>
      <c r="X26" s="188">
        <f t="shared" si="2"/>
        <v>2459690</v>
      </c>
      <c r="Y26" s="188">
        <f>SUM(Y19)</f>
        <v>1759913</v>
      </c>
      <c r="Z26" s="188">
        <f>SUM(Z25+Z19)</f>
        <v>699777</v>
      </c>
      <c r="AA26" s="240"/>
      <c r="AB26" s="248"/>
      <c r="AC26" s="240"/>
      <c r="AD26" s="240"/>
      <c r="AE26" s="240"/>
      <c r="AF26" s="240"/>
      <c r="AG26" s="240"/>
      <c r="AH26" s="240"/>
    </row>
    <row r="27" spans="2:34" s="184" customFormat="1" ht="15" customHeight="1">
      <c r="B27" s="81"/>
      <c r="C27" s="161"/>
      <c r="D27" s="162"/>
      <c r="E27" s="17"/>
      <c r="F27" s="17"/>
      <c r="G27" s="17"/>
      <c r="H27" s="17"/>
      <c r="I27" s="17"/>
      <c r="J27" s="17"/>
      <c r="K27" s="17"/>
      <c r="L27" s="17"/>
      <c r="M27" s="17"/>
      <c r="N27" s="17"/>
      <c r="P27" s="17"/>
      <c r="Q27" s="17"/>
      <c r="R27" s="17"/>
      <c r="S27" s="17"/>
      <c r="T27" s="17"/>
      <c r="V27" s="17"/>
      <c r="X27" s="17"/>
      <c r="Y27" s="17"/>
      <c r="Z27" s="17"/>
      <c r="AA27" s="240"/>
      <c r="AB27" s="248"/>
      <c r="AC27" s="240"/>
      <c r="AD27" s="240"/>
      <c r="AE27" s="240"/>
      <c r="AF27" s="240"/>
      <c r="AG27" s="240"/>
      <c r="AH27" s="240"/>
    </row>
    <row r="28" spans="2:34" ht="15" customHeight="1" hidden="1">
      <c r="B28" s="147" t="s">
        <v>39</v>
      </c>
      <c r="C28" s="164" t="s">
        <v>38</v>
      </c>
      <c r="D28" s="165"/>
      <c r="H28" s="13"/>
      <c r="I28" s="13"/>
      <c r="J28" s="13"/>
      <c r="K28" s="13"/>
      <c r="L28" s="10"/>
      <c r="M28" s="13"/>
      <c r="N28" s="10">
        <f>SUM(E28:H28)</f>
        <v>0</v>
      </c>
      <c r="P28" s="12"/>
      <c r="Q28" s="12"/>
      <c r="R28" s="12">
        <f t="shared" si="1"/>
        <v>0</v>
      </c>
      <c r="S28" s="12">
        <f>R28</f>
        <v>0</v>
      </c>
      <c r="T28" s="12">
        <f>SUM(K28:N28)</f>
        <v>0</v>
      </c>
      <c r="V28" s="12"/>
      <c r="X28" s="12">
        <f>+R28+V28+W28</f>
        <v>0</v>
      </c>
      <c r="Y28" s="12">
        <f>X28</f>
        <v>0</v>
      </c>
      <c r="Z28" s="12">
        <f>SUM(Q28:T28)</f>
        <v>0</v>
      </c>
      <c r="AA28" s="240"/>
      <c r="AB28" s="248"/>
      <c r="AC28" s="240"/>
      <c r="AD28" s="240"/>
      <c r="AE28" s="240"/>
      <c r="AF28" s="240"/>
      <c r="AG28" s="240"/>
      <c r="AH28" s="240"/>
    </row>
    <row r="29" spans="2:34" s="191" customFormat="1" ht="27" customHeight="1" thickBot="1">
      <c r="B29" s="166" t="s">
        <v>41</v>
      </c>
      <c r="C29" s="167" t="s">
        <v>22</v>
      </c>
      <c r="D29" s="168"/>
      <c r="E29" s="18">
        <f aca="true" t="shared" si="9" ref="E29:L29">SUM(E13-E26)</f>
        <v>946997</v>
      </c>
      <c r="F29" s="18">
        <f t="shared" si="9"/>
        <v>-234543</v>
      </c>
      <c r="G29" s="18">
        <f t="shared" si="9"/>
        <v>-787755</v>
      </c>
      <c r="H29" s="18">
        <f t="shared" si="9"/>
        <v>-17654</v>
      </c>
      <c r="I29" s="18">
        <f t="shared" si="9"/>
        <v>-124719</v>
      </c>
      <c r="J29" s="18">
        <f t="shared" si="9"/>
        <v>-120178</v>
      </c>
      <c r="K29" s="18">
        <f t="shared" si="9"/>
        <v>-116742</v>
      </c>
      <c r="L29" s="18">
        <f t="shared" si="9"/>
        <v>-454594</v>
      </c>
      <c r="M29" s="18">
        <f>L29</f>
        <v>-454594</v>
      </c>
      <c r="N29" s="18">
        <f>L29-M29</f>
        <v>0</v>
      </c>
      <c r="O29" s="18">
        <f>SUM(O13-O26)</f>
        <v>-118544</v>
      </c>
      <c r="P29" s="18">
        <f>SUM(P13-P26)</f>
        <v>-118544</v>
      </c>
      <c r="Q29" s="190"/>
      <c r="R29" s="190">
        <f t="shared" si="1"/>
        <v>-573138</v>
      </c>
      <c r="S29" s="190">
        <f>R29</f>
        <v>-573138</v>
      </c>
      <c r="T29" s="190">
        <f>R29-S29</f>
        <v>0</v>
      </c>
      <c r="U29" s="18">
        <f>SUM(U13-U26)</f>
        <v>-115555</v>
      </c>
      <c r="V29" s="18">
        <f>SUM(V13-V26)</f>
        <v>-115555</v>
      </c>
      <c r="X29" s="190">
        <f>+R29+V29+W29</f>
        <v>-688693</v>
      </c>
      <c r="Y29" s="190">
        <f>X29</f>
        <v>-688693</v>
      </c>
      <c r="Z29" s="190">
        <f>X29-Y29</f>
        <v>0</v>
      </c>
      <c r="AA29" s="240"/>
      <c r="AB29" s="248"/>
      <c r="AC29" s="240"/>
      <c r="AD29" s="240"/>
      <c r="AE29" s="240"/>
      <c r="AF29" s="240"/>
      <c r="AG29" s="240"/>
      <c r="AH29" s="240"/>
    </row>
    <row r="30" spans="2:34" ht="15.75" thickTop="1">
      <c r="B30" s="4"/>
      <c r="L30" s="12"/>
      <c r="N30" s="12"/>
      <c r="AA30" s="240"/>
      <c r="AB30" s="248"/>
      <c r="AC30" s="240"/>
      <c r="AD30" s="240"/>
      <c r="AE30" s="240"/>
      <c r="AF30" s="240"/>
      <c r="AG30" s="240"/>
      <c r="AH30" s="240"/>
    </row>
    <row r="31" spans="3:34" ht="11.25" customHeight="1" hidden="1">
      <c r="C31" s="73"/>
      <c r="E31" s="77" t="s">
        <v>40</v>
      </c>
      <c r="F31" s="77"/>
      <c r="G31" s="74"/>
      <c r="L31" s="7"/>
      <c r="AA31" s="240"/>
      <c r="AB31" s="248"/>
      <c r="AC31" s="240"/>
      <c r="AD31" s="240"/>
      <c r="AE31" s="240"/>
      <c r="AF31" s="240"/>
      <c r="AG31" s="240"/>
      <c r="AH31" s="240"/>
    </row>
    <row r="32" spans="3:34" ht="10.5" customHeight="1" hidden="1">
      <c r="C32" s="73"/>
      <c r="E32" s="77"/>
      <c r="F32" s="77"/>
      <c r="G32" s="74"/>
      <c r="L32" s="7"/>
      <c r="AA32" s="240"/>
      <c r="AB32" s="248"/>
      <c r="AC32" s="240"/>
      <c r="AD32" s="240"/>
      <c r="AE32" s="240"/>
      <c r="AF32" s="240"/>
      <c r="AG32" s="240"/>
      <c r="AH32" s="240"/>
    </row>
    <row r="33" spans="2:34" ht="15">
      <c r="B33" s="148" t="s">
        <v>25</v>
      </c>
      <c r="L33" s="7"/>
      <c r="AA33" s="240"/>
      <c r="AB33" s="248"/>
      <c r="AC33" s="240"/>
      <c r="AD33" s="240"/>
      <c r="AE33" s="240"/>
      <c r="AF33" s="240"/>
      <c r="AG33" s="240"/>
      <c r="AH33" s="240"/>
    </row>
    <row r="34" spans="2:34" ht="21" customHeight="1">
      <c r="B34" s="148"/>
      <c r="C34" s="149" t="s">
        <v>32</v>
      </c>
      <c r="D34" s="150"/>
      <c r="L34" s="7"/>
      <c r="AA34" s="240"/>
      <c r="AB34" s="248"/>
      <c r="AC34" s="240"/>
      <c r="AD34" s="240"/>
      <c r="AE34" s="240"/>
      <c r="AF34" s="240"/>
      <c r="AG34" s="240"/>
      <c r="AH34" s="240"/>
    </row>
    <row r="35" spans="2:34" ht="15">
      <c r="B35" s="147">
        <v>8</v>
      </c>
      <c r="C35" s="169" t="s">
        <v>83</v>
      </c>
      <c r="D35" s="170" t="s">
        <v>59</v>
      </c>
      <c r="E35" s="13">
        <v>16748</v>
      </c>
      <c r="F35" s="13">
        <v>19892</v>
      </c>
      <c r="G35" s="19">
        <f>61121+1660+675</f>
        <v>63456</v>
      </c>
      <c r="H35" s="19">
        <v>35466</v>
      </c>
      <c r="I35" s="19">
        <v>29677</v>
      </c>
      <c r="J35" s="19">
        <v>35380</v>
      </c>
      <c r="K35" s="19">
        <v>61251</v>
      </c>
      <c r="L35" s="8">
        <f>SUM(E35:K35)</f>
        <v>261870</v>
      </c>
      <c r="M35" s="71">
        <f>+L35-N35</f>
        <v>233958</v>
      </c>
      <c r="N35" s="8">
        <v>27912</v>
      </c>
      <c r="O35" s="12">
        <f>SUM(P35:Q35)</f>
        <v>36995</v>
      </c>
      <c r="P35" s="71">
        <v>24706</v>
      </c>
      <c r="Q35" s="71">
        <v>12289</v>
      </c>
      <c r="R35" s="12">
        <f>+L35+O35</f>
        <v>298865</v>
      </c>
      <c r="S35" s="12">
        <f>+M35+P35</f>
        <v>258664</v>
      </c>
      <c r="T35" s="12">
        <f>+N35+Q35</f>
        <v>40201</v>
      </c>
      <c r="U35" s="71">
        <v>18416</v>
      </c>
      <c r="V35" s="71">
        <f>U35-W35</f>
        <v>10567</v>
      </c>
      <c r="W35" s="71">
        <v>7849</v>
      </c>
      <c r="X35" s="12">
        <f aca="true" t="shared" si="10" ref="X35:Z42">+R35+U35</f>
        <v>317281</v>
      </c>
      <c r="Y35" s="12">
        <f t="shared" si="10"/>
        <v>269231</v>
      </c>
      <c r="Z35" s="12">
        <f>+T35+W35</f>
        <v>48050</v>
      </c>
      <c r="AA35" s="241"/>
      <c r="AB35" s="248"/>
      <c r="AC35" s="241"/>
      <c r="AD35" s="241"/>
      <c r="AE35" s="241"/>
      <c r="AF35" s="241"/>
      <c r="AG35" s="241"/>
      <c r="AH35" s="241"/>
    </row>
    <row r="36" spans="2:34" ht="15">
      <c r="B36" s="147">
        <v>9</v>
      </c>
      <c r="C36" s="171" t="s">
        <v>12</v>
      </c>
      <c r="D36" s="170" t="s">
        <v>63</v>
      </c>
      <c r="E36" s="13"/>
      <c r="F36" s="13">
        <v>12740</v>
      </c>
      <c r="G36" s="19">
        <v>459949</v>
      </c>
      <c r="H36" s="19">
        <v>169156</v>
      </c>
      <c r="I36" s="19">
        <v>472156</v>
      </c>
      <c r="J36" s="19">
        <v>92686</v>
      </c>
      <c r="K36" s="19">
        <f>9928+121</f>
        <v>10049</v>
      </c>
      <c r="L36" s="8">
        <f>SUM(E36:K36)</f>
        <v>1216736</v>
      </c>
      <c r="M36" s="71">
        <f>L36</f>
        <v>1216736</v>
      </c>
      <c r="N36" s="8"/>
      <c r="O36" s="12">
        <f>P36</f>
        <v>91782</v>
      </c>
      <c r="P36" s="71">
        <v>91782</v>
      </c>
      <c r="Q36" s="71"/>
      <c r="R36" s="12">
        <f aca="true" t="shared" si="11" ref="R36:R56">+L36+O36</f>
        <v>1308518</v>
      </c>
      <c r="S36" s="12">
        <f aca="true" t="shared" si="12" ref="S36:S54">+M36+P36</f>
        <v>1308518</v>
      </c>
      <c r="T36" s="12">
        <f aca="true" t="shared" si="13" ref="T36:T54">+N36+Q36</f>
        <v>0</v>
      </c>
      <c r="U36" s="71">
        <v>89190</v>
      </c>
      <c r="V36" s="71">
        <f>U36-W36</f>
        <v>89190</v>
      </c>
      <c r="W36" s="71"/>
      <c r="X36" s="12">
        <f t="shared" si="10"/>
        <v>1397708</v>
      </c>
      <c r="Y36" s="12">
        <f t="shared" si="10"/>
        <v>1397708</v>
      </c>
      <c r="Z36" s="12">
        <f t="shared" si="10"/>
        <v>0</v>
      </c>
      <c r="AA36" s="241"/>
      <c r="AB36" s="248"/>
      <c r="AC36" s="241"/>
      <c r="AD36" s="241"/>
      <c r="AE36" s="241"/>
      <c r="AF36" s="241"/>
      <c r="AG36" s="241"/>
      <c r="AH36" s="241"/>
    </row>
    <row r="37" spans="2:34" ht="15">
      <c r="B37" s="147">
        <v>10</v>
      </c>
      <c r="C37" s="171" t="s">
        <v>101</v>
      </c>
      <c r="D37" s="170"/>
      <c r="E37" s="13"/>
      <c r="F37" s="13"/>
      <c r="G37" s="19"/>
      <c r="H37" s="19"/>
      <c r="I37" s="19"/>
      <c r="J37" s="19"/>
      <c r="K37" s="19">
        <v>96111</v>
      </c>
      <c r="L37" s="8">
        <f>SUM(E37:K37)</f>
        <v>96111</v>
      </c>
      <c r="M37" s="71">
        <f>L37</f>
        <v>96111</v>
      </c>
      <c r="N37" s="8"/>
      <c r="O37" s="12">
        <f>P37</f>
        <v>19024</v>
      </c>
      <c r="P37" s="12">
        <v>19024</v>
      </c>
      <c r="Q37" s="12"/>
      <c r="R37" s="12">
        <f t="shared" si="11"/>
        <v>115135</v>
      </c>
      <c r="S37" s="12">
        <f t="shared" si="12"/>
        <v>115135</v>
      </c>
      <c r="T37" s="12">
        <f t="shared" si="13"/>
        <v>0</v>
      </c>
      <c r="U37" s="71">
        <v>20448</v>
      </c>
      <c r="V37" s="71">
        <f>U37-W37</f>
        <v>20448</v>
      </c>
      <c r="W37" s="71"/>
      <c r="X37" s="12">
        <f t="shared" si="10"/>
        <v>135583</v>
      </c>
      <c r="Y37" s="12">
        <f t="shared" si="10"/>
        <v>135583</v>
      </c>
      <c r="Z37" s="12">
        <f t="shared" si="10"/>
        <v>0</v>
      </c>
      <c r="AA37" s="241"/>
      <c r="AB37" s="248"/>
      <c r="AC37" s="241"/>
      <c r="AD37" s="241"/>
      <c r="AE37" s="241"/>
      <c r="AF37" s="241"/>
      <c r="AG37" s="241"/>
      <c r="AH37" s="241"/>
    </row>
    <row r="38" spans="2:34" ht="15">
      <c r="B38" s="172">
        <v>11</v>
      </c>
      <c r="C38" s="173" t="s">
        <v>77</v>
      </c>
      <c r="D38" s="163">
        <v>47731603</v>
      </c>
      <c r="E38" s="14"/>
      <c r="F38" s="14"/>
      <c r="G38" s="14">
        <v>41480</v>
      </c>
      <c r="H38" s="15">
        <f>14700+52159-9321</f>
        <v>57538</v>
      </c>
      <c r="I38" s="15">
        <v>25267</v>
      </c>
      <c r="J38" s="15">
        <v>45432</v>
      </c>
      <c r="K38" s="15">
        <v>31408</v>
      </c>
      <c r="L38" s="8">
        <f>SUM(E38:K38)</f>
        <v>201125</v>
      </c>
      <c r="M38" s="15"/>
      <c r="N38" s="8">
        <f>L38</f>
        <v>201125</v>
      </c>
      <c r="O38" s="12">
        <f>Q38</f>
        <v>36599</v>
      </c>
      <c r="P38" s="12"/>
      <c r="Q38" s="12">
        <v>36599</v>
      </c>
      <c r="R38" s="12">
        <f t="shared" si="11"/>
        <v>237724</v>
      </c>
      <c r="S38" s="12">
        <f t="shared" si="12"/>
        <v>0</v>
      </c>
      <c r="T38" s="12">
        <f t="shared" si="13"/>
        <v>237724</v>
      </c>
      <c r="U38" s="71">
        <f>SUM(V38:W38)</f>
        <v>3217</v>
      </c>
      <c r="V38" s="71"/>
      <c r="W38" s="71">
        <v>3217</v>
      </c>
      <c r="X38" s="12">
        <f t="shared" si="10"/>
        <v>240941</v>
      </c>
      <c r="Y38" s="12">
        <f t="shared" si="10"/>
        <v>0</v>
      </c>
      <c r="Z38" s="12">
        <f t="shared" si="10"/>
        <v>240941</v>
      </c>
      <c r="AA38" s="241"/>
      <c r="AB38" s="248"/>
      <c r="AC38" s="241"/>
      <c r="AD38" s="241"/>
      <c r="AE38" s="241"/>
      <c r="AF38" s="241"/>
      <c r="AG38" s="241"/>
      <c r="AH38" s="241"/>
    </row>
    <row r="39" spans="2:34" s="152" customFormat="1" ht="15">
      <c r="B39" s="151">
        <v>12</v>
      </c>
      <c r="C39" s="152" t="s">
        <v>78</v>
      </c>
      <c r="D39" s="153"/>
      <c r="E39" s="11"/>
      <c r="F39" s="11"/>
      <c r="G39" s="11"/>
      <c r="H39" s="16"/>
      <c r="I39" s="16"/>
      <c r="J39" s="16">
        <v>34179</v>
      </c>
      <c r="K39" s="16">
        <v>336935</v>
      </c>
      <c r="L39" s="10">
        <f>SUM(E39:K39)</f>
        <v>371114</v>
      </c>
      <c r="M39" s="16"/>
      <c r="N39" s="10">
        <f>L39</f>
        <v>371114</v>
      </c>
      <c r="O39" s="10">
        <f>Q39</f>
        <v>18226</v>
      </c>
      <c r="P39" s="10"/>
      <c r="Q39" s="10">
        <v>18226</v>
      </c>
      <c r="R39" s="10">
        <f t="shared" si="11"/>
        <v>389340</v>
      </c>
      <c r="S39" s="10">
        <f t="shared" si="12"/>
        <v>0</v>
      </c>
      <c r="T39" s="10">
        <f t="shared" si="13"/>
        <v>389340</v>
      </c>
      <c r="U39" s="242"/>
      <c r="V39" s="71"/>
      <c r="W39" s="80"/>
      <c r="X39" s="10">
        <f t="shared" si="10"/>
        <v>389340</v>
      </c>
      <c r="Y39" s="10">
        <f t="shared" si="10"/>
        <v>0</v>
      </c>
      <c r="Z39" s="10">
        <f t="shared" si="10"/>
        <v>389340</v>
      </c>
      <c r="AA39" s="240"/>
      <c r="AB39" s="248"/>
      <c r="AC39" s="240"/>
      <c r="AD39" s="240"/>
      <c r="AE39" s="240"/>
      <c r="AF39" s="240"/>
      <c r="AG39" s="240"/>
      <c r="AH39" s="240"/>
    </row>
    <row r="40" spans="2:34" s="202" customFormat="1" ht="16.5" customHeight="1">
      <c r="B40" s="198" t="s">
        <v>80</v>
      </c>
      <c r="C40" s="199" t="s">
        <v>17</v>
      </c>
      <c r="D40" s="200"/>
      <c r="E40" s="201">
        <f aca="true" t="shared" si="14" ref="E40:K40">SUM(E35:E39)</f>
        <v>16748</v>
      </c>
      <c r="F40" s="201">
        <f t="shared" si="14"/>
        <v>32632</v>
      </c>
      <c r="G40" s="201">
        <f t="shared" si="14"/>
        <v>564885</v>
      </c>
      <c r="H40" s="201">
        <f t="shared" si="14"/>
        <v>262160</v>
      </c>
      <c r="I40" s="201">
        <f t="shared" si="14"/>
        <v>527100</v>
      </c>
      <c r="J40" s="201">
        <f t="shared" si="14"/>
        <v>207677</v>
      </c>
      <c r="K40" s="201">
        <f t="shared" si="14"/>
        <v>535754</v>
      </c>
      <c r="L40" s="201">
        <f aca="true" t="shared" si="15" ref="L40:Q40">SUM(L35:L39)</f>
        <v>2146956</v>
      </c>
      <c r="M40" s="201">
        <f t="shared" si="15"/>
        <v>1546805</v>
      </c>
      <c r="N40" s="201">
        <f t="shared" si="15"/>
        <v>600151</v>
      </c>
      <c r="O40" s="201">
        <f t="shared" si="15"/>
        <v>202626</v>
      </c>
      <c r="P40" s="201">
        <f t="shared" si="15"/>
        <v>135512</v>
      </c>
      <c r="Q40" s="201">
        <f t="shared" si="15"/>
        <v>67114</v>
      </c>
      <c r="R40" s="201">
        <f t="shared" si="11"/>
        <v>2349582</v>
      </c>
      <c r="S40" s="201">
        <f t="shared" si="12"/>
        <v>1682317</v>
      </c>
      <c r="T40" s="201">
        <f t="shared" si="13"/>
        <v>667265</v>
      </c>
      <c r="U40" s="201">
        <f>SUM(U35:U39)</f>
        <v>131271</v>
      </c>
      <c r="V40" s="201">
        <f>SUM(V35:V39)</f>
        <v>120205</v>
      </c>
      <c r="W40" s="201">
        <f>SUM(W35:W39)</f>
        <v>11066</v>
      </c>
      <c r="X40" s="201">
        <f t="shared" si="10"/>
        <v>2480853</v>
      </c>
      <c r="Y40" s="201">
        <f t="shared" si="10"/>
        <v>1802522</v>
      </c>
      <c r="Z40" s="201">
        <f t="shared" si="10"/>
        <v>678331</v>
      </c>
      <c r="AA40" s="240"/>
      <c r="AB40" s="248"/>
      <c r="AC40" s="240"/>
      <c r="AD40" s="240"/>
      <c r="AE40" s="240"/>
      <c r="AF40" s="240"/>
      <c r="AG40" s="240"/>
      <c r="AH40" s="240"/>
    </row>
    <row r="41" spans="2:34" s="184" customFormat="1" ht="18" customHeight="1">
      <c r="B41" s="81" t="s">
        <v>43</v>
      </c>
      <c r="C41" s="174" t="s">
        <v>33</v>
      </c>
      <c r="D41" s="175"/>
      <c r="E41" s="17">
        <v>0</v>
      </c>
      <c r="F41" s="17">
        <v>0</v>
      </c>
      <c r="G41" s="17">
        <v>0</v>
      </c>
      <c r="H41" s="17">
        <v>0</v>
      </c>
      <c r="I41" s="17"/>
      <c r="J41" s="17"/>
      <c r="K41" s="17"/>
      <c r="L41" s="17">
        <v>0</v>
      </c>
      <c r="M41" s="17">
        <v>0</v>
      </c>
      <c r="N41" s="17">
        <f>SUM(E41:K41)</f>
        <v>0</v>
      </c>
      <c r="O41" s="17"/>
      <c r="P41" s="17"/>
      <c r="Q41" s="17"/>
      <c r="R41" s="17">
        <f t="shared" si="11"/>
        <v>0</v>
      </c>
      <c r="S41" s="17">
        <f t="shared" si="12"/>
        <v>0</v>
      </c>
      <c r="T41" s="17">
        <f t="shared" si="13"/>
        <v>0</v>
      </c>
      <c r="U41" s="202"/>
      <c r="V41" s="202"/>
      <c r="W41" s="202"/>
      <c r="X41" s="17">
        <f t="shared" si="10"/>
        <v>0</v>
      </c>
      <c r="Y41" s="17">
        <f t="shared" si="10"/>
        <v>0</v>
      </c>
      <c r="Z41" s="17">
        <f t="shared" si="10"/>
        <v>0</v>
      </c>
      <c r="AA41" s="240"/>
      <c r="AB41" s="248"/>
      <c r="AC41" s="240"/>
      <c r="AD41" s="240"/>
      <c r="AE41" s="240"/>
      <c r="AF41" s="240"/>
      <c r="AG41" s="240"/>
      <c r="AH41" s="240"/>
    </row>
    <row r="42" spans="2:34" ht="15">
      <c r="B42" s="4" t="s">
        <v>34</v>
      </c>
      <c r="C42" s="5" t="s">
        <v>18</v>
      </c>
      <c r="E42" s="12">
        <f aca="true" t="shared" si="16" ref="E42:Q42">SUM(E40+E41)</f>
        <v>16748</v>
      </c>
      <c r="F42" s="12">
        <f t="shared" si="16"/>
        <v>32632</v>
      </c>
      <c r="G42" s="12">
        <f t="shared" si="16"/>
        <v>564885</v>
      </c>
      <c r="H42" s="12">
        <f>SUM(H40+H41)</f>
        <v>262160</v>
      </c>
      <c r="I42" s="12">
        <f t="shared" si="16"/>
        <v>527100</v>
      </c>
      <c r="J42" s="12">
        <f t="shared" si="16"/>
        <v>207677</v>
      </c>
      <c r="K42" s="12">
        <f t="shared" si="16"/>
        <v>535754</v>
      </c>
      <c r="L42" s="12">
        <f t="shared" si="16"/>
        <v>2146956</v>
      </c>
      <c r="M42" s="12">
        <f t="shared" si="16"/>
        <v>1546805</v>
      </c>
      <c r="N42" s="12">
        <f t="shared" si="16"/>
        <v>600151</v>
      </c>
      <c r="O42" s="12">
        <f t="shared" si="16"/>
        <v>202626</v>
      </c>
      <c r="P42" s="12">
        <f t="shared" si="16"/>
        <v>135512</v>
      </c>
      <c r="Q42" s="12">
        <f t="shared" si="16"/>
        <v>67114</v>
      </c>
      <c r="R42" s="12">
        <f t="shared" si="11"/>
        <v>2349582</v>
      </c>
      <c r="S42" s="12">
        <f t="shared" si="12"/>
        <v>1682317</v>
      </c>
      <c r="T42" s="12">
        <f t="shared" si="13"/>
        <v>667265</v>
      </c>
      <c r="U42" s="71">
        <f>SUM(U40+U41)</f>
        <v>131271</v>
      </c>
      <c r="V42" s="71">
        <f>SUM(V40+V41)</f>
        <v>120205</v>
      </c>
      <c r="W42" s="71">
        <f>SUM(W40+W41)</f>
        <v>11066</v>
      </c>
      <c r="X42" s="12">
        <f t="shared" si="10"/>
        <v>2480853</v>
      </c>
      <c r="Y42" s="12">
        <f t="shared" si="10"/>
        <v>1802522</v>
      </c>
      <c r="Z42" s="12">
        <f t="shared" si="10"/>
        <v>678331</v>
      </c>
      <c r="AA42" s="240"/>
      <c r="AB42" s="248"/>
      <c r="AC42" s="240"/>
      <c r="AD42" s="240"/>
      <c r="AE42" s="240"/>
      <c r="AF42" s="240"/>
      <c r="AG42" s="240"/>
      <c r="AH42" s="240"/>
    </row>
    <row r="43" spans="3:34" ht="15">
      <c r="C43" s="149" t="s">
        <v>26</v>
      </c>
      <c r="D43" s="150"/>
      <c r="E43" s="13"/>
      <c r="F43" s="13"/>
      <c r="G43" s="13"/>
      <c r="H43" s="13"/>
      <c r="I43" s="13"/>
      <c r="J43" s="13"/>
      <c r="K43" s="13"/>
      <c r="L43" s="12"/>
      <c r="M43" s="13"/>
      <c r="N43" s="12"/>
      <c r="O43" s="12"/>
      <c r="P43" s="12"/>
      <c r="Q43" s="12"/>
      <c r="R43" s="12"/>
      <c r="S43" s="12"/>
      <c r="T43" s="12"/>
      <c r="U43" s="241"/>
      <c r="V43" s="241"/>
      <c r="W43" s="241"/>
      <c r="X43" s="12"/>
      <c r="Y43" s="12"/>
      <c r="Z43" s="12"/>
      <c r="AA43" s="240"/>
      <c r="AB43" s="248"/>
      <c r="AC43" s="240"/>
      <c r="AD43" s="240"/>
      <c r="AE43" s="240"/>
      <c r="AF43" s="240"/>
      <c r="AG43" s="240"/>
      <c r="AH43" s="240"/>
    </row>
    <row r="44" spans="2:34" ht="15">
      <c r="B44" s="147">
        <v>13</v>
      </c>
      <c r="C44" s="6" t="s">
        <v>0</v>
      </c>
      <c r="D44" s="68" t="s">
        <v>57</v>
      </c>
      <c r="E44" s="13">
        <v>10840</v>
      </c>
      <c r="F44" s="13"/>
      <c r="G44" s="13"/>
      <c r="H44" s="13"/>
      <c r="I44" s="13"/>
      <c r="J44" s="13"/>
      <c r="K44" s="13"/>
      <c r="L44" s="8">
        <f>SUM(E44:K44)</f>
        <v>10840</v>
      </c>
      <c r="M44" s="12">
        <f>$L44*$M$6</f>
        <v>7004.699600000001</v>
      </c>
      <c r="N44" s="12">
        <f>$L44*$N$6</f>
        <v>3835.3003999999996</v>
      </c>
      <c r="O44" s="12"/>
      <c r="P44" s="12"/>
      <c r="Q44" s="12"/>
      <c r="R44" s="12">
        <f t="shared" si="11"/>
        <v>10840</v>
      </c>
      <c r="S44" s="12">
        <f t="shared" si="12"/>
        <v>7004.699600000001</v>
      </c>
      <c r="T44" s="12">
        <f t="shared" si="13"/>
        <v>3835.3003999999996</v>
      </c>
      <c r="U44" s="241"/>
      <c r="V44" s="241"/>
      <c r="W44" s="241"/>
      <c r="X44" s="12">
        <f aca="true" t="shared" si="17" ref="X44:Z48">+R44+U44</f>
        <v>10840</v>
      </c>
      <c r="Y44" s="12">
        <f t="shared" si="17"/>
        <v>7004.699600000001</v>
      </c>
      <c r="Z44" s="12">
        <f t="shared" si="17"/>
        <v>3835.3003999999996</v>
      </c>
      <c r="AA44" s="240"/>
      <c r="AB44" s="248"/>
      <c r="AC44" s="240"/>
      <c r="AD44" s="240"/>
      <c r="AE44" s="240"/>
      <c r="AF44" s="240"/>
      <c r="AG44" s="240"/>
      <c r="AH44" s="240"/>
    </row>
    <row r="45" spans="2:34" ht="15">
      <c r="B45" s="176" t="s">
        <v>81</v>
      </c>
      <c r="C45" s="6" t="s">
        <v>1</v>
      </c>
      <c r="D45" s="68" t="s">
        <v>58</v>
      </c>
      <c r="E45" s="13"/>
      <c r="F45" s="13">
        <v>41176</v>
      </c>
      <c r="G45" s="13">
        <f>29276+25490</f>
        <v>54766</v>
      </c>
      <c r="H45" s="13">
        <v>49809</v>
      </c>
      <c r="I45" s="13">
        <f>13660+26774</f>
        <v>40434</v>
      </c>
      <c r="J45" s="13">
        <v>75932</v>
      </c>
      <c r="K45" s="13">
        <v>95688</v>
      </c>
      <c r="L45" s="8">
        <f>SUM(E45:K45)</f>
        <v>357805</v>
      </c>
      <c r="M45" s="71">
        <f>+L45-N45</f>
        <v>228667</v>
      </c>
      <c r="N45" s="8">
        <v>129138</v>
      </c>
      <c r="O45" s="12">
        <f>SUM(P45:Q45)</f>
        <v>103048</v>
      </c>
      <c r="P45" s="12">
        <f>103048*$P$6+2543</f>
        <v>69131.58712000001</v>
      </c>
      <c r="Q45" s="12">
        <f>103048*$Q$6-2543</f>
        <v>33916.412879999996</v>
      </c>
      <c r="R45" s="12">
        <f t="shared" si="11"/>
        <v>460853</v>
      </c>
      <c r="S45" s="12">
        <f t="shared" si="12"/>
        <v>297798.58712000004</v>
      </c>
      <c r="T45" s="12">
        <f t="shared" si="13"/>
        <v>163054.41288</v>
      </c>
      <c r="U45" s="71">
        <v>108651</v>
      </c>
      <c r="V45" s="71">
        <f>U45-W45</f>
        <v>70019</v>
      </c>
      <c r="W45" s="71">
        <v>38632</v>
      </c>
      <c r="X45" s="12">
        <f>+R45+U45</f>
        <v>569504</v>
      </c>
      <c r="Y45" s="12">
        <f>+S45+V45</f>
        <v>367817.58712000004</v>
      </c>
      <c r="Z45" s="12">
        <f>+T45+W45</f>
        <v>201686.41288</v>
      </c>
      <c r="AA45" s="240"/>
      <c r="AB45" s="248"/>
      <c r="AC45" s="240"/>
      <c r="AD45" s="240"/>
      <c r="AE45" s="240"/>
      <c r="AF45" s="240"/>
      <c r="AG45" s="240"/>
      <c r="AH45" s="240"/>
    </row>
    <row r="46" spans="2:34" ht="15">
      <c r="B46" s="147">
        <v>15</v>
      </c>
      <c r="C46" s="6" t="s">
        <v>97</v>
      </c>
      <c r="D46" s="68" t="s">
        <v>62</v>
      </c>
      <c r="E46" s="13"/>
      <c r="F46" s="13">
        <v>18754</v>
      </c>
      <c r="G46" s="13">
        <f>54520+1910-16594</f>
        <v>39836</v>
      </c>
      <c r="H46" s="13">
        <f>18484+7</f>
        <v>18491</v>
      </c>
      <c r="I46" s="19">
        <v>44544</v>
      </c>
      <c r="J46" s="19">
        <v>6542</v>
      </c>
      <c r="K46" s="19">
        <f>296+94</f>
        <v>390</v>
      </c>
      <c r="L46" s="8">
        <f>SUM(E46:K46)</f>
        <v>128557</v>
      </c>
      <c r="M46" s="12">
        <f>$L46*$M$6</f>
        <v>83072.24783000001</v>
      </c>
      <c r="N46" s="12">
        <f>$L46*$N$6</f>
        <v>45484.75216999999</v>
      </c>
      <c r="O46" s="12">
        <f>P46</f>
        <v>8950</v>
      </c>
      <c r="P46" s="12">
        <v>8950</v>
      </c>
      <c r="Q46" s="12"/>
      <c r="R46" s="12">
        <f t="shared" si="11"/>
        <v>137507</v>
      </c>
      <c r="S46" s="12">
        <f t="shared" si="12"/>
        <v>92022.24783000001</v>
      </c>
      <c r="T46" s="12">
        <f t="shared" si="13"/>
        <v>45484.75216999999</v>
      </c>
      <c r="U46" s="71">
        <v>8180</v>
      </c>
      <c r="V46" s="71">
        <v>8180</v>
      </c>
      <c r="W46" s="71"/>
      <c r="X46" s="12">
        <f t="shared" si="17"/>
        <v>145687</v>
      </c>
      <c r="Y46" s="12">
        <f t="shared" si="17"/>
        <v>100202.24783000001</v>
      </c>
      <c r="Z46" s="12">
        <f t="shared" si="17"/>
        <v>45484.75216999999</v>
      </c>
      <c r="AA46" s="240"/>
      <c r="AB46" s="248"/>
      <c r="AC46" s="240"/>
      <c r="AD46" s="240"/>
      <c r="AE46" s="240"/>
      <c r="AF46" s="240"/>
      <c r="AG46" s="240"/>
      <c r="AH46" s="240"/>
    </row>
    <row r="47" spans="2:34" s="152" customFormat="1" ht="15">
      <c r="B47" s="151">
        <v>16</v>
      </c>
      <c r="C47" s="152" t="s">
        <v>2</v>
      </c>
      <c r="D47" s="153">
        <v>477361</v>
      </c>
      <c r="E47" s="11">
        <v>122</v>
      </c>
      <c r="F47" s="11">
        <v>415</v>
      </c>
      <c r="G47" s="11">
        <v>198</v>
      </c>
      <c r="H47" s="11">
        <v>83</v>
      </c>
      <c r="I47" s="11">
        <f>36+13</f>
        <v>49</v>
      </c>
      <c r="J47" s="11">
        <v>185</v>
      </c>
      <c r="K47" s="11">
        <v>538</v>
      </c>
      <c r="L47" s="10">
        <f>SUM(E47:K47)</f>
        <v>1590</v>
      </c>
      <c r="M47" s="10">
        <f>$L47*$M$6</f>
        <v>1027.4421</v>
      </c>
      <c r="N47" s="10">
        <f>$L47*$N$6</f>
        <v>562.5578999999999</v>
      </c>
      <c r="O47" s="10">
        <v>260</v>
      </c>
      <c r="P47" s="10">
        <f>O47*$P$6</f>
        <v>168.0094</v>
      </c>
      <c r="Q47" s="10">
        <f>O47*$Q$6</f>
        <v>91.99059999999999</v>
      </c>
      <c r="R47" s="10">
        <f t="shared" si="11"/>
        <v>1850</v>
      </c>
      <c r="S47" s="10">
        <f t="shared" si="12"/>
        <v>1195.4515</v>
      </c>
      <c r="T47" s="10">
        <f t="shared" si="13"/>
        <v>654.5484999999999</v>
      </c>
      <c r="U47" s="80">
        <v>264</v>
      </c>
      <c r="V47" s="80">
        <f>U47*$P$6</f>
        <v>170.59416000000002</v>
      </c>
      <c r="W47" s="80">
        <f>U47*$Q$6</f>
        <v>93.40583999999998</v>
      </c>
      <c r="X47" s="10">
        <f t="shared" si="17"/>
        <v>2114</v>
      </c>
      <c r="Y47" s="10">
        <f t="shared" si="17"/>
        <v>1366.04566</v>
      </c>
      <c r="Z47" s="10">
        <f t="shared" si="17"/>
        <v>747.9543399999999</v>
      </c>
      <c r="AA47" s="240"/>
      <c r="AB47" s="248"/>
      <c r="AC47" s="240"/>
      <c r="AD47" s="240"/>
      <c r="AE47" s="240"/>
      <c r="AF47" s="240"/>
      <c r="AG47" s="240"/>
      <c r="AH47" s="240"/>
    </row>
    <row r="48" spans="2:34" s="202" customFormat="1" ht="15">
      <c r="B48" s="198" t="s">
        <v>89</v>
      </c>
      <c r="C48" s="199" t="s">
        <v>29</v>
      </c>
      <c r="D48" s="200"/>
      <c r="E48" s="201">
        <f aca="true" t="shared" si="18" ref="E48:N48">SUM(E44:E47)</f>
        <v>10962</v>
      </c>
      <c r="F48" s="201">
        <f t="shared" si="18"/>
        <v>60345</v>
      </c>
      <c r="G48" s="201">
        <f t="shared" si="18"/>
        <v>94800</v>
      </c>
      <c r="H48" s="201">
        <f t="shared" si="18"/>
        <v>68383</v>
      </c>
      <c r="I48" s="201">
        <f t="shared" si="18"/>
        <v>85027</v>
      </c>
      <c r="J48" s="201">
        <f t="shared" si="18"/>
        <v>82659</v>
      </c>
      <c r="K48" s="201">
        <f t="shared" si="18"/>
        <v>96616</v>
      </c>
      <c r="L48" s="201">
        <f t="shared" si="18"/>
        <v>498792</v>
      </c>
      <c r="M48" s="201">
        <f t="shared" si="18"/>
        <v>319771.38953</v>
      </c>
      <c r="N48" s="201">
        <f t="shared" si="18"/>
        <v>179020.61047</v>
      </c>
      <c r="O48" s="201">
        <f>SUM(O44:O47)</f>
        <v>112258</v>
      </c>
      <c r="P48" s="201">
        <f>SUM(P44:P47)</f>
        <v>78249.59652</v>
      </c>
      <c r="Q48" s="201">
        <f>SUM(Q44:Q47)</f>
        <v>34008.40347999999</v>
      </c>
      <c r="R48" s="201">
        <f t="shared" si="11"/>
        <v>611050</v>
      </c>
      <c r="S48" s="201">
        <f t="shared" si="12"/>
        <v>398020.98605</v>
      </c>
      <c r="T48" s="201">
        <f t="shared" si="13"/>
        <v>213029.01395</v>
      </c>
      <c r="U48" s="201">
        <f>SUM(U44:U47)</f>
        <v>117095</v>
      </c>
      <c r="V48" s="201">
        <f>SUM(V44:V47)</f>
        <v>78369.59416</v>
      </c>
      <c r="W48" s="201">
        <f>SUM(W44:W47)</f>
        <v>38725.40584</v>
      </c>
      <c r="X48" s="201">
        <f t="shared" si="17"/>
        <v>728145</v>
      </c>
      <c r="Y48" s="201">
        <f t="shared" si="17"/>
        <v>476390.58021</v>
      </c>
      <c r="Z48" s="201">
        <f t="shared" si="17"/>
        <v>251754.41978999999</v>
      </c>
      <c r="AA48" s="240"/>
      <c r="AB48" s="248"/>
      <c r="AC48" s="240"/>
      <c r="AD48" s="240"/>
      <c r="AE48" s="240"/>
      <c r="AF48" s="240"/>
      <c r="AG48" s="240"/>
      <c r="AH48" s="240"/>
    </row>
    <row r="49" spans="2:34" s="184" customFormat="1" ht="15">
      <c r="B49" s="203"/>
      <c r="C49" s="161"/>
      <c r="D49" s="162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40"/>
      <c r="AB49" s="248"/>
      <c r="AC49" s="240"/>
      <c r="AD49" s="240"/>
      <c r="AE49" s="240"/>
      <c r="AF49" s="240"/>
      <c r="AG49" s="240"/>
      <c r="AH49" s="240"/>
    </row>
    <row r="50" spans="2:34" s="204" customFormat="1" ht="15.75" thickBot="1">
      <c r="B50" s="192" t="s">
        <v>35</v>
      </c>
      <c r="C50" s="193" t="s">
        <v>31</v>
      </c>
      <c r="D50" s="194"/>
      <c r="E50" s="133">
        <f aca="true" t="shared" si="19" ref="E50:N50">SUM(E42-E48)</f>
        <v>5786</v>
      </c>
      <c r="F50" s="133">
        <f t="shared" si="19"/>
        <v>-27713</v>
      </c>
      <c r="G50" s="133">
        <f t="shared" si="19"/>
        <v>470085</v>
      </c>
      <c r="H50" s="133">
        <f t="shared" si="19"/>
        <v>193777</v>
      </c>
      <c r="I50" s="133">
        <f t="shared" si="19"/>
        <v>442073</v>
      </c>
      <c r="J50" s="133">
        <f t="shared" si="19"/>
        <v>125018</v>
      </c>
      <c r="K50" s="133">
        <f t="shared" si="19"/>
        <v>439138</v>
      </c>
      <c r="L50" s="133">
        <f t="shared" si="19"/>
        <v>1648164</v>
      </c>
      <c r="M50" s="133">
        <f t="shared" si="19"/>
        <v>1227033.61047</v>
      </c>
      <c r="N50" s="133">
        <f t="shared" si="19"/>
        <v>421130.38953</v>
      </c>
      <c r="O50" s="133">
        <f>SUM(O42-O48)</f>
        <v>90368</v>
      </c>
      <c r="P50" s="133">
        <f>SUM(P42-P48)</f>
        <v>57262.40347999999</v>
      </c>
      <c r="Q50" s="133">
        <f>SUM(Q42-Q48)</f>
        <v>33105.59652000001</v>
      </c>
      <c r="R50" s="205">
        <f t="shared" si="11"/>
        <v>1738532</v>
      </c>
      <c r="S50" s="205">
        <f t="shared" si="12"/>
        <v>1284296.01395</v>
      </c>
      <c r="T50" s="205">
        <f t="shared" si="13"/>
        <v>454235.98605</v>
      </c>
      <c r="U50" s="133">
        <f>SUM(U42-U48)</f>
        <v>14176</v>
      </c>
      <c r="V50" s="133">
        <f>SUM(V42-V48)</f>
        <v>41835.40584000001</v>
      </c>
      <c r="W50" s="133">
        <f>SUM(W42-W48)</f>
        <v>-27659.40584</v>
      </c>
      <c r="X50" s="205">
        <f>+R50+U50</f>
        <v>1752708</v>
      </c>
      <c r="Y50" s="205">
        <f>+S50+V50</f>
        <v>1326131.41979</v>
      </c>
      <c r="Z50" s="205">
        <f>+T50+W50</f>
        <v>426576.58021</v>
      </c>
      <c r="AA50" s="240"/>
      <c r="AB50" s="248"/>
      <c r="AC50" s="240"/>
      <c r="AD50" s="240"/>
      <c r="AE50" s="240"/>
      <c r="AF50" s="240"/>
      <c r="AG50" s="240"/>
      <c r="AH50" s="240"/>
    </row>
    <row r="51" spans="2:34" s="177" customFormat="1" ht="12" customHeight="1" thickTop="1">
      <c r="B51" s="208"/>
      <c r="D51" s="178"/>
      <c r="E51" s="209"/>
      <c r="F51" s="209"/>
      <c r="G51" s="209"/>
      <c r="H51" s="209"/>
      <c r="I51" s="209"/>
      <c r="J51" s="209"/>
      <c r="K51" s="209"/>
      <c r="L51" s="210"/>
      <c r="M51" s="209"/>
      <c r="N51" s="210"/>
      <c r="O51" s="210"/>
      <c r="P51" s="210"/>
      <c r="Q51" s="210"/>
      <c r="R51" s="85"/>
      <c r="S51" s="85"/>
      <c r="T51" s="85"/>
      <c r="U51" s="210"/>
      <c r="V51" s="210"/>
      <c r="W51" s="210"/>
      <c r="X51" s="85"/>
      <c r="Y51" s="85"/>
      <c r="Z51" s="85"/>
      <c r="AA51" s="240"/>
      <c r="AB51" s="248"/>
      <c r="AC51" s="240"/>
      <c r="AD51" s="240"/>
      <c r="AE51" s="240"/>
      <c r="AF51" s="240"/>
      <c r="AG51" s="240"/>
      <c r="AH51" s="240"/>
    </row>
    <row r="52" spans="2:34" s="191" customFormat="1" ht="21.75" customHeight="1" thickBot="1">
      <c r="B52" s="206" t="s">
        <v>90</v>
      </c>
      <c r="C52" s="105" t="s">
        <v>37</v>
      </c>
      <c r="D52" s="207"/>
      <c r="E52" s="190">
        <f>SUM(E29+E50)</f>
        <v>952783</v>
      </c>
      <c r="F52" s="190">
        <f aca="true" t="shared" si="20" ref="F52:K52">SUM(E52+F29+F50)</f>
        <v>690527</v>
      </c>
      <c r="G52" s="190">
        <f t="shared" si="20"/>
        <v>372857</v>
      </c>
      <c r="H52" s="190">
        <f t="shared" si="20"/>
        <v>548980</v>
      </c>
      <c r="I52" s="190">
        <f t="shared" si="20"/>
        <v>866334</v>
      </c>
      <c r="J52" s="190">
        <f t="shared" si="20"/>
        <v>871174</v>
      </c>
      <c r="K52" s="190">
        <f t="shared" si="20"/>
        <v>1193570</v>
      </c>
      <c r="L52" s="190">
        <f aca="true" t="shared" si="21" ref="L52:Q52">SUM(L29+L50)</f>
        <v>1193570</v>
      </c>
      <c r="M52" s="190">
        <f t="shared" si="21"/>
        <v>772439.61047</v>
      </c>
      <c r="N52" s="190">
        <f t="shared" si="21"/>
        <v>421130.38953</v>
      </c>
      <c r="O52" s="190">
        <f t="shared" si="21"/>
        <v>-28176</v>
      </c>
      <c r="P52" s="190">
        <f>SUM(P29+P50)</f>
        <v>-61281.59652000001</v>
      </c>
      <c r="Q52" s="190">
        <f t="shared" si="21"/>
        <v>33105.59652000001</v>
      </c>
      <c r="R52" s="190">
        <f t="shared" si="11"/>
        <v>1165394</v>
      </c>
      <c r="S52" s="190">
        <f t="shared" si="12"/>
        <v>711158.0139499999</v>
      </c>
      <c r="T52" s="190">
        <f t="shared" si="13"/>
        <v>454235.98605</v>
      </c>
      <c r="U52" s="190">
        <f>SUM(U29+U50)</f>
        <v>-101379</v>
      </c>
      <c r="V52" s="190">
        <f>SUM(V29+V50)</f>
        <v>-73719.59416</v>
      </c>
      <c r="W52" s="190">
        <f>SUM(W29+W50)</f>
        <v>-27659.40584</v>
      </c>
      <c r="X52" s="190">
        <f aca="true" t="shared" si="22" ref="X52:Z54">+R52+U52</f>
        <v>1064015</v>
      </c>
      <c r="Y52" s="190">
        <f t="shared" si="22"/>
        <v>637438.41979</v>
      </c>
      <c r="Z52" s="190">
        <f t="shared" si="22"/>
        <v>426576.58021</v>
      </c>
      <c r="AA52" s="240"/>
      <c r="AB52" s="248"/>
      <c r="AC52" s="240"/>
      <c r="AD52" s="240"/>
      <c r="AE52" s="240"/>
      <c r="AF52" s="240"/>
      <c r="AG52" s="240"/>
      <c r="AH52" s="240"/>
    </row>
    <row r="53" spans="2:34" s="177" customFormat="1" ht="15.75" thickTop="1">
      <c r="B53" s="177" t="s">
        <v>52</v>
      </c>
      <c r="D53" s="178"/>
      <c r="E53" s="84"/>
      <c r="F53" s="84">
        <v>214460</v>
      </c>
      <c r="G53" s="84">
        <v>373000</v>
      </c>
      <c r="H53" s="84">
        <v>792089</v>
      </c>
      <c r="I53" s="84">
        <v>800891</v>
      </c>
      <c r="J53" s="84">
        <v>985700</v>
      </c>
      <c r="K53" s="84">
        <f>985700+118000</f>
        <v>1103700</v>
      </c>
      <c r="L53" s="85">
        <f>985700+118000</f>
        <v>1103700</v>
      </c>
      <c r="M53" s="85">
        <f>$L53*$M$6</f>
        <v>713199.903</v>
      </c>
      <c r="N53" s="85">
        <f>$L53*$N$6</f>
        <v>390500.09699999995</v>
      </c>
      <c r="O53" s="85">
        <v>118000</v>
      </c>
      <c r="P53" s="85">
        <f>O53*$P$6</f>
        <v>76250.42</v>
      </c>
      <c r="Q53" s="85">
        <f>O53*$Q$6</f>
        <v>41749.579999999994</v>
      </c>
      <c r="R53" s="85">
        <f t="shared" si="11"/>
        <v>1221700</v>
      </c>
      <c r="S53" s="85">
        <f t="shared" si="12"/>
        <v>789450.3230000001</v>
      </c>
      <c r="T53" s="85">
        <f t="shared" si="13"/>
        <v>432249.67699999997</v>
      </c>
      <c r="U53" s="85">
        <v>15368</v>
      </c>
      <c r="V53" s="85">
        <f>U53*$P$6</f>
        <v>9930.647920000001</v>
      </c>
      <c r="W53" s="85">
        <f>U53*$Q$6</f>
        <v>5437.35208</v>
      </c>
      <c r="X53" s="85">
        <f t="shared" si="22"/>
        <v>1237068</v>
      </c>
      <c r="Y53" s="85">
        <f t="shared" si="22"/>
        <v>799380.9709200001</v>
      </c>
      <c r="Z53" s="85">
        <f t="shared" si="22"/>
        <v>437687.02907999995</v>
      </c>
      <c r="AA53" s="240"/>
      <c r="AB53" s="248"/>
      <c r="AC53" s="240"/>
      <c r="AD53" s="240"/>
      <c r="AE53" s="240"/>
      <c r="AF53" s="240"/>
      <c r="AG53" s="240"/>
      <c r="AH53" s="240"/>
    </row>
    <row r="54" spans="2:34" s="126" customFormat="1" ht="15">
      <c r="B54" s="196" t="s">
        <v>50</v>
      </c>
      <c r="D54" s="197"/>
      <c r="E54" s="195">
        <f aca="true" t="shared" si="23" ref="E54:N54">SUM(E52-E53)</f>
        <v>952783</v>
      </c>
      <c r="F54" s="195">
        <f t="shared" si="23"/>
        <v>476067</v>
      </c>
      <c r="G54" s="195">
        <f t="shared" si="23"/>
        <v>-143</v>
      </c>
      <c r="H54" s="195">
        <f t="shared" si="23"/>
        <v>-243109</v>
      </c>
      <c r="I54" s="195">
        <f t="shared" si="23"/>
        <v>65443</v>
      </c>
      <c r="J54" s="195">
        <f t="shared" si="23"/>
        <v>-114526</v>
      </c>
      <c r="K54" s="195">
        <f t="shared" si="23"/>
        <v>89870</v>
      </c>
      <c r="L54" s="195">
        <f t="shared" si="23"/>
        <v>89870</v>
      </c>
      <c r="M54" s="195">
        <f t="shared" si="23"/>
        <v>59239.70746999991</v>
      </c>
      <c r="N54" s="195">
        <f t="shared" si="23"/>
        <v>30630.292530000035</v>
      </c>
      <c r="O54" s="195">
        <f>SUM(O52-O53)</f>
        <v>-146176</v>
      </c>
      <c r="P54" s="195">
        <f>SUM(P52-P53)</f>
        <v>-137532.01652</v>
      </c>
      <c r="Q54" s="195">
        <f>SUM(Q52-Q53)</f>
        <v>-8643.983479999988</v>
      </c>
      <c r="R54" s="195">
        <f t="shared" si="11"/>
        <v>-56306</v>
      </c>
      <c r="S54" s="195">
        <f t="shared" si="12"/>
        <v>-78292.3090500001</v>
      </c>
      <c r="T54" s="195">
        <f t="shared" si="13"/>
        <v>21986.309050000047</v>
      </c>
      <c r="U54" s="195">
        <f>SUM(U52-U53)</f>
        <v>-116747</v>
      </c>
      <c r="V54" s="195">
        <f>SUM(V52-V53)</f>
        <v>-83650.24208</v>
      </c>
      <c r="W54" s="195">
        <f>SUM(W52-W53)</f>
        <v>-33096.75792</v>
      </c>
      <c r="X54" s="195">
        <f t="shared" si="22"/>
        <v>-173053</v>
      </c>
      <c r="Y54" s="195">
        <f t="shared" si="22"/>
        <v>-161942.5511300001</v>
      </c>
      <c r="Z54" s="195">
        <f t="shared" si="22"/>
        <v>-11110.44886999995</v>
      </c>
      <c r="AA54" s="240"/>
      <c r="AB54" s="248"/>
      <c r="AC54" s="240"/>
      <c r="AD54" s="240"/>
      <c r="AE54" s="240"/>
      <c r="AF54" s="240"/>
      <c r="AG54" s="240"/>
      <c r="AH54" s="240"/>
    </row>
    <row r="55" spans="14:34" ht="21" customHeight="1">
      <c r="N55" s="9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241"/>
      <c r="AB55" s="248"/>
      <c r="AC55" s="241"/>
      <c r="AD55" s="241"/>
      <c r="AE55" s="241"/>
      <c r="AF55" s="241"/>
      <c r="AG55" s="241"/>
      <c r="AH55" s="241"/>
    </row>
    <row r="56" spans="2:34" ht="15">
      <c r="B56" s="6"/>
      <c r="C56" s="5" t="s">
        <v>86</v>
      </c>
      <c r="E56" s="13"/>
      <c r="F56" s="13"/>
      <c r="G56" s="179"/>
      <c r="H56" s="179"/>
      <c r="I56" s="179"/>
      <c r="L56" s="12">
        <f>D2*(K2-E2)/1000</f>
        <v>639600.0000000001</v>
      </c>
      <c r="M56" s="8">
        <f>$L$56*M6</f>
        <v>413303.1240000001</v>
      </c>
      <c r="N56" s="8">
        <f>$L$56*N6</f>
        <v>226296.87600000002</v>
      </c>
      <c r="O56" s="12">
        <f>D2*(O2-K2)/1000</f>
        <v>10799.999999999842</v>
      </c>
      <c r="P56" s="12">
        <f>O56*$P$6</f>
        <v>6978.851999999898</v>
      </c>
      <c r="Q56" s="12">
        <f>O56*$Q$6</f>
        <v>3821.1479999999437</v>
      </c>
      <c r="R56" s="12">
        <f t="shared" si="11"/>
        <v>650400</v>
      </c>
      <c r="S56" s="12">
        <f>R56*$P$6</f>
        <v>420281.976</v>
      </c>
      <c r="T56" s="12">
        <f>R56*$Q$6</f>
        <v>230118.02399999998</v>
      </c>
      <c r="U56" s="12">
        <f>D2*(U2-O2)/1000</f>
        <v>197100.00000000035</v>
      </c>
      <c r="V56" s="12">
        <f>U56*$P$6</f>
        <v>127364.04900000023</v>
      </c>
      <c r="W56" s="12">
        <f>U56*$Q$6</f>
        <v>69735.95100000012</v>
      </c>
      <c r="X56" s="12">
        <f>+R56+U56</f>
        <v>847500.0000000003</v>
      </c>
      <c r="Y56" s="12">
        <f>X56*$P$6</f>
        <v>547646.0250000003</v>
      </c>
      <c r="Z56" s="12">
        <f>X56*$Q$6</f>
        <v>299853.9750000001</v>
      </c>
      <c r="AA56" s="241"/>
      <c r="AB56" s="248"/>
      <c r="AC56" s="241"/>
      <c r="AD56" s="241"/>
      <c r="AE56" s="241"/>
      <c r="AF56" s="241"/>
      <c r="AG56" s="241"/>
      <c r="AH56" s="241"/>
    </row>
    <row r="57" spans="2:34" ht="15">
      <c r="B57" s="6"/>
      <c r="E57" s="13"/>
      <c r="F57" s="13"/>
      <c r="G57" s="13"/>
      <c r="H57" s="13"/>
      <c r="I57" s="13"/>
      <c r="J57" s="13"/>
      <c r="K57" s="13"/>
      <c r="L57" s="12"/>
      <c r="M57" s="13"/>
      <c r="N57" s="12"/>
      <c r="AA57" s="241"/>
      <c r="AB57" s="241"/>
      <c r="AC57" s="241"/>
      <c r="AD57" s="241"/>
      <c r="AE57" s="241"/>
      <c r="AF57" s="241"/>
      <c r="AG57" s="241"/>
      <c r="AH57" s="241"/>
    </row>
    <row r="58" spans="4:34" ht="15">
      <c r="D58" s="77"/>
      <c r="E58" s="180"/>
      <c r="F58" s="181"/>
      <c r="G58" s="4"/>
      <c r="H58" s="4"/>
      <c r="I58" s="4"/>
      <c r="J58" s="4"/>
      <c r="K58" s="4"/>
      <c r="L58" s="4"/>
      <c r="M58" s="220">
        <f>M52/L53</f>
        <v>0.6998637405726194</v>
      </c>
      <c r="N58" s="220">
        <f>1-M58</f>
        <v>0.30013625942738065</v>
      </c>
      <c r="S58" s="220">
        <f>S52/R53</f>
        <v>0.5821052745764098</v>
      </c>
      <c r="T58" s="220">
        <f>1-S58</f>
        <v>0.4178947254235902</v>
      </c>
      <c r="Y58" s="220">
        <f>Y52/X53</f>
        <v>0.5152816334995327</v>
      </c>
      <c r="Z58" s="220">
        <f>1-Y58</f>
        <v>0.4847183665004673</v>
      </c>
      <c r="AA58" s="241"/>
      <c r="AB58" s="241"/>
      <c r="AC58" s="241"/>
      <c r="AD58" s="241"/>
      <c r="AE58" s="241"/>
      <c r="AF58" s="241"/>
      <c r="AG58" s="241"/>
      <c r="AH58" s="241"/>
    </row>
    <row r="59" spans="3:34" ht="15">
      <c r="C59" s="5" t="s">
        <v>102</v>
      </c>
      <c r="D59" s="77"/>
      <c r="E59" s="180"/>
      <c r="F59" s="181"/>
      <c r="G59" s="4"/>
      <c r="H59" s="4"/>
      <c r="I59" s="4"/>
      <c r="J59" s="4"/>
      <c r="K59" s="4"/>
      <c r="L59" s="4"/>
      <c r="M59" s="4"/>
      <c r="N59" s="20"/>
      <c r="AA59" s="241"/>
      <c r="AB59" s="241"/>
      <c r="AC59" s="241"/>
      <c r="AD59" s="241"/>
      <c r="AE59" s="241"/>
      <c r="AF59" s="241"/>
      <c r="AG59" s="241"/>
      <c r="AH59" s="241"/>
    </row>
    <row r="60" spans="6:34" ht="15">
      <c r="F60" s="12" t="s">
        <v>100</v>
      </c>
      <c r="G60" s="12">
        <f>SUM(E19:H19)</f>
        <v>1204471</v>
      </c>
      <c r="H60" s="79">
        <f>G60/(G60+G61)</f>
        <v>0.6461920693236736</v>
      </c>
      <c r="I60" s="4"/>
      <c r="J60" s="4"/>
      <c r="K60" s="4"/>
      <c r="L60" s="4"/>
      <c r="M60" s="4"/>
      <c r="N60" s="4"/>
      <c r="O60" s="4"/>
      <c r="AA60" s="241"/>
      <c r="AB60" s="241"/>
      <c r="AC60" s="241"/>
      <c r="AD60" s="241"/>
      <c r="AE60" s="241"/>
      <c r="AF60" s="241"/>
      <c r="AG60" s="241"/>
      <c r="AH60" s="241"/>
    </row>
    <row r="61" spans="2:34" ht="15">
      <c r="B61" s="260"/>
      <c r="C61" s="260"/>
      <c r="F61" s="12" t="s">
        <v>85</v>
      </c>
      <c r="G61" s="12">
        <f>SUM(E25:H25)</f>
        <v>659481</v>
      </c>
      <c r="H61" s="79">
        <f>G61/(G61+G60)</f>
        <v>0.35380793067632643</v>
      </c>
      <c r="I61" s="118"/>
      <c r="J61" s="118"/>
      <c r="K61" s="118"/>
      <c r="L61" s="118"/>
      <c r="M61" s="118"/>
      <c r="N61" s="219"/>
      <c r="O61" s="147"/>
      <c r="AA61" s="241"/>
      <c r="AB61" s="241"/>
      <c r="AC61" s="241"/>
      <c r="AD61" s="241"/>
      <c r="AE61" s="241"/>
      <c r="AF61" s="241"/>
      <c r="AG61" s="241"/>
      <c r="AH61" s="241"/>
    </row>
    <row r="62" spans="3:18" ht="15">
      <c r="C62" s="258" t="s">
        <v>105</v>
      </c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</row>
    <row r="63" ht="15">
      <c r="C63"/>
    </row>
    <row r="64" spans="3:19" ht="15">
      <c r="C64" s="244" t="s">
        <v>106</v>
      </c>
      <c r="R64" s="245">
        <f>Y19</f>
        <v>1759913</v>
      </c>
      <c r="S64" s="26"/>
    </row>
    <row r="65" spans="3:19" ht="15">
      <c r="C65" s="244" t="s">
        <v>31</v>
      </c>
      <c r="R65" s="245">
        <f>Y50</f>
        <v>1326131.41979</v>
      </c>
      <c r="S65" s="26"/>
    </row>
    <row r="66" spans="3:19" ht="15">
      <c r="C66" s="243" t="s">
        <v>108</v>
      </c>
      <c r="R66" s="247">
        <f>Y56</f>
        <v>547646.0250000003</v>
      </c>
      <c r="S66" s="26"/>
    </row>
    <row r="67" spans="3:19" ht="15">
      <c r="C67" s="244" t="s">
        <v>107</v>
      </c>
      <c r="R67" s="245">
        <f>+R64-R65+R66</f>
        <v>981427.6052100003</v>
      </c>
      <c r="S67" s="26"/>
    </row>
  </sheetData>
  <sheetProtection/>
  <mergeCells count="8">
    <mergeCell ref="X4:Z4"/>
    <mergeCell ref="C62:R62"/>
    <mergeCell ref="K1:N1"/>
    <mergeCell ref="B61:C61"/>
    <mergeCell ref="P4:Q4"/>
    <mergeCell ref="Y2:Z2"/>
    <mergeCell ref="R4:T4"/>
    <mergeCell ref="U4:W4"/>
  </mergeCells>
  <printOptions/>
  <pageMargins left="0.1009375" right="0.7086614173228347" top="0.7480314960629921" bottom="0.7480314960629921" header="0.31496062992125984" footer="0.31496062992125984"/>
  <pageSetup fitToHeight="1" fitToWidth="1" horizontalDpi="300" verticalDpi="300" orientation="portrait" paperSize="9" scale="62" r:id="rId1"/>
  <headerFooter alignWithMargins="0">
    <oddHeader>&amp;R1/b..sz. melléklet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 RT.</dc:creator>
  <cp:keywords/>
  <dc:description/>
  <cp:lastModifiedBy>Tartalék</cp:lastModifiedBy>
  <cp:lastPrinted>2015-04-01T17:21:34Z</cp:lastPrinted>
  <dcterms:created xsi:type="dcterms:W3CDTF">2008-03-19T17:50:33Z</dcterms:created>
  <dcterms:modified xsi:type="dcterms:W3CDTF">2015-04-01T17:26:01Z</dcterms:modified>
  <cp:category/>
  <cp:version/>
  <cp:contentType/>
  <cp:contentStatus/>
</cp:coreProperties>
</file>