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475" activeTab="0"/>
  </bookViews>
  <sheets>
    <sheet name="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 Erenyő</author>
  </authors>
  <commentList>
    <comment ref="A13" authorId="0">
      <text>
        <r>
          <rPr>
            <b/>
            <sz val="8"/>
            <rFont val="Tahoma"/>
            <family val="0"/>
          </rPr>
          <t>MIK Erenyő:</t>
        </r>
        <r>
          <rPr>
            <sz val="8"/>
            <rFont val="Tahoma"/>
            <family val="0"/>
          </rPr>
          <t xml:space="preserve">
víz, közüzemi díjak
</t>
        </r>
      </text>
    </comment>
  </commentList>
</comments>
</file>

<file path=xl/sharedStrings.xml><?xml version="1.0" encoding="utf-8"?>
<sst xmlns="http://schemas.openxmlformats.org/spreadsheetml/2006/main" count="61" uniqueCount="59">
  <si>
    <t>MIK Zrt.</t>
  </si>
  <si>
    <t xml:space="preserve">Bérleményszolgáltatás bevételei és kiadásai </t>
  </si>
  <si>
    <t>Adatok: eFt-ban</t>
  </si>
  <si>
    <t>Megnevezés</t>
  </si>
  <si>
    <t xml:space="preserve">  1. Bérleménydíj előírás</t>
  </si>
  <si>
    <t xml:space="preserve">       Lakás bérleti díj</t>
  </si>
  <si>
    <t xml:space="preserve">       Egyéb bérleti díjak</t>
  </si>
  <si>
    <t xml:space="preserve">       Helyiségek bérleti díja</t>
  </si>
  <si>
    <t xml:space="preserve">  1. Rendelkezésre álló </t>
  </si>
  <si>
    <t xml:space="preserve">      bérleménydíj előírás nettó</t>
  </si>
  <si>
    <t xml:space="preserve">  2. Tárgyidőszaki hátralék képződés</t>
  </si>
  <si>
    <t xml:space="preserve">       Ebből:  - helyiség és egyéb ingatlan</t>
  </si>
  <si>
    <t xml:space="preserve">     4. Bevétel leírt hátralékra</t>
  </si>
  <si>
    <t xml:space="preserve">     5.a. Bérleti jog átruházási díj (LHD)</t>
  </si>
  <si>
    <t xml:space="preserve">     5.b. FPP bérleti jog megszerzési alapdíj</t>
  </si>
  <si>
    <t xml:space="preserve">     6. Hátralékbehajtás késedelmi kamat</t>
  </si>
  <si>
    <t xml:space="preserve">     7. Egyéb bérleményszolgáltatási bevételek</t>
  </si>
  <si>
    <t xml:space="preserve">          - közüzemi díjak</t>
  </si>
  <si>
    <t xml:space="preserve">          - kezelői díj</t>
  </si>
  <si>
    <t xml:space="preserve">          - lakásalap nyilvántartási díj</t>
  </si>
  <si>
    <r>
      <t xml:space="preserve">          -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karbantartás bonyolítói díjak</t>
    </r>
  </si>
  <si>
    <t xml:space="preserve">          - ingatlankezelési és nyilv. normatíva</t>
  </si>
  <si>
    <r>
      <t xml:space="preserve">        - </t>
    </r>
    <r>
      <rPr>
        <sz val="10"/>
        <color indexed="9"/>
        <rFont val="Times New Roman"/>
        <family val="1"/>
      </rPr>
      <t>.</t>
    </r>
    <r>
      <rPr>
        <sz val="10"/>
        <rFont val="Times New Roman"/>
        <family val="1"/>
      </rPr>
      <t>Állagmegóvás, pollenvédelem</t>
    </r>
  </si>
  <si>
    <t xml:space="preserve">        - HK karbantartási keret, gyorshibaelhárítás</t>
  </si>
  <si>
    <t xml:space="preserve">       -   Érintésvédelem</t>
  </si>
  <si>
    <r>
      <t xml:space="preserve">        -</t>
    </r>
    <r>
      <rPr>
        <sz val="10"/>
        <color indexed="9"/>
        <rFont val="Times New Roman"/>
        <family val="1"/>
      </rPr>
      <t xml:space="preserve"> </t>
    </r>
    <r>
      <rPr>
        <sz val="10"/>
        <rFont val="Times New Roman"/>
        <family val="1"/>
      </rPr>
      <t>Üres lakás felújítás</t>
    </r>
  </si>
  <si>
    <t xml:space="preserve">        - Vízmérők cseréje</t>
  </si>
  <si>
    <t xml:space="preserve">        - Bontás</t>
  </si>
  <si>
    <r>
      <t xml:space="preserve">        -</t>
    </r>
    <r>
      <rPr>
        <sz val="10"/>
        <color indexed="9"/>
        <rFont val="Times New Roman"/>
        <family val="1"/>
      </rPr>
      <t xml:space="preserve">. </t>
    </r>
    <r>
      <rPr>
        <sz val="10"/>
        <rFont val="Times New Roman"/>
        <family val="1"/>
      </rPr>
      <t>TÉK részleges felújítás</t>
    </r>
  </si>
  <si>
    <t>terv / várható %-ban</t>
  </si>
  <si>
    <t xml:space="preserve">        - Bérbeszámítás </t>
  </si>
  <si>
    <t>2015. évi Ingatlangazdálkodási terv 1/a. sz. melléklete.</t>
  </si>
  <si>
    <t xml:space="preserve">2015. TERV  </t>
  </si>
  <si>
    <t>2014.       TÉNY</t>
  </si>
  <si>
    <t>2015. lakás, közület</t>
  </si>
  <si>
    <r>
      <t xml:space="preserve">2015.  </t>
    </r>
    <r>
      <rPr>
        <sz val="11"/>
        <rFont val="Times New Roman"/>
        <family val="1"/>
      </rPr>
      <t xml:space="preserve">                              Első u.</t>
    </r>
  </si>
  <si>
    <r>
      <t xml:space="preserve">2015. </t>
    </r>
    <r>
      <rPr>
        <sz val="11"/>
        <rFont val="Times New Roman"/>
        <family val="1"/>
      </rPr>
      <t xml:space="preserve">  Második u.</t>
    </r>
  </si>
  <si>
    <r>
      <t xml:space="preserve">2015. </t>
    </r>
    <r>
      <rPr>
        <sz val="11"/>
        <rFont val="Times New Roman"/>
        <family val="1"/>
      </rPr>
      <t xml:space="preserve">  Eperjesi u.</t>
    </r>
  </si>
  <si>
    <r>
      <t xml:space="preserve">2015. </t>
    </r>
    <r>
      <rPr>
        <sz val="11"/>
        <rFont val="Times New Roman"/>
        <family val="1"/>
      </rPr>
      <t>Szondi u.</t>
    </r>
  </si>
  <si>
    <t>2015. TERV  Összesen</t>
  </si>
  <si>
    <t>8. Rendelkezésre álló bérleménydíj bevétel  áfa nélkül       ( 1- 2+ 3+ 4+ 5a +5b + 5c + 6 + 7 )</t>
  </si>
  <si>
    <t xml:space="preserve">   9.  Ingatlankezelés költségei</t>
  </si>
  <si>
    <t xml:space="preserve">   10.  Kezelői és bonyolítói díjak</t>
  </si>
  <si>
    <t xml:space="preserve">   11.  Lakásleadás térítési díja,  LHD kiadás </t>
  </si>
  <si>
    <t xml:space="preserve">   12.  Karbantartási felhasználás</t>
  </si>
  <si>
    <t xml:space="preserve">  13.  Egyéb felhasználás</t>
  </si>
  <si>
    <t xml:space="preserve">  14. Kötvényalapra átvezetés</t>
  </si>
  <si>
    <t xml:space="preserve">  15. Finanszírozási költség (MNB alapkam.+2,6%)</t>
  </si>
  <si>
    <t>16. Összes felhasználás        áfa nélküli-nettó                                  ( 9+10+11+12+13+14+15)</t>
  </si>
  <si>
    <t>17. Tárgyévi bérleményszolgáltatási egyenleg</t>
  </si>
  <si>
    <t xml:space="preserve">18. Előző évi bérleti díj maradvány </t>
  </si>
  <si>
    <t>19. Bérleményszolgáltatás pénzügyi egyenlege                                     (17+18 )</t>
  </si>
  <si>
    <t xml:space="preserve">  3. Előző időszak hátralékára befizetés</t>
  </si>
  <si>
    <t xml:space="preserve">       Ebből:  - lakosssági</t>
  </si>
  <si>
    <t xml:space="preserve">     5.c. FPP tevékenység váltás, albérletbe adás</t>
  </si>
  <si>
    <t xml:space="preserve">       Földbérlemények</t>
  </si>
  <si>
    <r>
      <t xml:space="preserve">       Fűtés díj</t>
    </r>
    <r>
      <rPr>
        <i/>
        <sz val="10"/>
        <rFont val="Times New Roman"/>
        <family val="1"/>
      </rPr>
      <t xml:space="preserve"> </t>
    </r>
  </si>
  <si>
    <t xml:space="preserve">       FPP bérleti díj előírás</t>
  </si>
  <si>
    <t xml:space="preserve">       Bérbeadással kapcsolatos egyéb bevétel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</si>
</sst>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2" fillId="0" borderId="10" xfId="0" applyNumberFormat="1" applyFont="1" applyBorder="1" applyAlignment="1">
      <alignment horizontal="right" indent="1"/>
    </xf>
    <xf numFmtId="3" fontId="3" fillId="0" borderId="10" xfId="0" applyNumberFormat="1" applyFont="1" applyBorder="1" applyAlignment="1">
      <alignment horizontal="right" indent="1"/>
    </xf>
    <xf numFmtId="10" fontId="2" fillId="0" borderId="10" xfId="0" applyNumberFormat="1" applyFont="1" applyBorder="1" applyAlignment="1">
      <alignment horizontal="right" indent="1"/>
    </xf>
    <xf numFmtId="3" fontId="3" fillId="0" borderId="10" xfId="0" applyNumberFormat="1" applyFont="1" applyFill="1" applyBorder="1" applyAlignment="1">
      <alignment horizontal="right" indent="1"/>
    </xf>
    <xf numFmtId="10" fontId="2" fillId="0" borderId="11" xfId="0" applyNumberFormat="1" applyFont="1" applyBorder="1" applyAlignment="1">
      <alignment horizontal="right" inden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indent="1"/>
    </xf>
    <xf numFmtId="10" fontId="2" fillId="0" borderId="0" xfId="0" applyNumberFormat="1" applyFont="1" applyAlignment="1">
      <alignment/>
    </xf>
    <xf numFmtId="3" fontId="3" fillId="0" borderId="10" xfId="0" applyNumberFormat="1" applyFont="1" applyBorder="1" applyAlignment="1" quotePrefix="1">
      <alignment horizontal="right" indent="1"/>
    </xf>
    <xf numFmtId="3" fontId="3" fillId="0" borderId="11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3" fontId="2" fillId="0" borderId="11" xfId="0" applyNumberFormat="1" applyFont="1" applyFill="1" applyBorder="1" applyAlignment="1">
      <alignment horizontal="right" indent="1"/>
    </xf>
    <xf numFmtId="3" fontId="2" fillId="0" borderId="13" xfId="0" applyNumberFormat="1" applyFont="1" applyFill="1" applyBorder="1" applyAlignment="1">
      <alignment horizontal="right" indent="1"/>
    </xf>
    <xf numFmtId="3" fontId="2" fillId="0" borderId="14" xfId="0" applyNumberFormat="1" applyFont="1" applyBorder="1" applyAlignment="1">
      <alignment horizontal="right" indent="1"/>
    </xf>
    <xf numFmtId="0" fontId="2" fillId="33" borderId="15" xfId="0" applyFont="1" applyFill="1" applyBorder="1" applyAlignment="1">
      <alignment wrapText="1"/>
    </xf>
    <xf numFmtId="3" fontId="2" fillId="33" borderId="16" xfId="0" applyNumberFormat="1" applyFont="1" applyFill="1" applyBorder="1" applyAlignment="1">
      <alignment horizontal="right" indent="1"/>
    </xf>
    <xf numFmtId="10" fontId="2" fillId="33" borderId="17" xfId="0" applyNumberFormat="1" applyFont="1" applyFill="1" applyBorder="1" applyAlignment="1">
      <alignment horizontal="right" indent="1"/>
    </xf>
    <xf numFmtId="10" fontId="2" fillId="33" borderId="18" xfId="0" applyNumberFormat="1" applyFont="1" applyFill="1" applyBorder="1" applyAlignment="1">
      <alignment horizontal="right" indent="1"/>
    </xf>
    <xf numFmtId="0" fontId="2" fillId="33" borderId="19" xfId="0" applyFont="1" applyFill="1" applyBorder="1" applyAlignment="1">
      <alignment wrapText="1"/>
    </xf>
    <xf numFmtId="3" fontId="2" fillId="33" borderId="20" xfId="0" applyNumberFormat="1" applyFont="1" applyFill="1" applyBorder="1" applyAlignment="1">
      <alignment horizontal="right" indent="1"/>
    </xf>
    <xf numFmtId="3" fontId="2" fillId="10" borderId="16" xfId="0" applyNumberFormat="1" applyFont="1" applyFill="1" applyBorder="1" applyAlignment="1">
      <alignment horizontal="right" indent="1"/>
    </xf>
    <xf numFmtId="10" fontId="2" fillId="10" borderId="17" xfId="0" applyNumberFormat="1" applyFont="1" applyFill="1" applyBorder="1" applyAlignment="1">
      <alignment horizontal="right" indent="1"/>
    </xf>
    <xf numFmtId="3" fontId="2" fillId="0" borderId="20" xfId="0" applyNumberFormat="1" applyFont="1" applyFill="1" applyBorder="1" applyAlignment="1">
      <alignment horizontal="right" indent="1"/>
    </xf>
    <xf numFmtId="3" fontId="3" fillId="0" borderId="20" xfId="0" applyNumberFormat="1" applyFont="1" applyFill="1" applyBorder="1" applyAlignment="1">
      <alignment horizontal="right" indent="1"/>
    </xf>
    <xf numFmtId="0" fontId="3" fillId="0" borderId="19" xfId="0" applyFont="1" applyBorder="1" applyAlignment="1">
      <alignment/>
    </xf>
    <xf numFmtId="10" fontId="2" fillId="0" borderId="18" xfId="0" applyNumberFormat="1" applyFont="1" applyFill="1" applyBorder="1" applyAlignment="1">
      <alignment horizontal="right" indent="1"/>
    </xf>
    <xf numFmtId="0" fontId="2" fillId="19" borderId="15" xfId="0" applyFont="1" applyFill="1" applyBorder="1" applyAlignment="1">
      <alignment wrapText="1"/>
    </xf>
    <xf numFmtId="3" fontId="2" fillId="19" borderId="16" xfId="0" applyNumberFormat="1" applyFont="1" applyFill="1" applyBorder="1" applyAlignment="1">
      <alignment horizontal="right" indent="1"/>
    </xf>
    <xf numFmtId="10" fontId="2" fillId="19" borderId="17" xfId="0" applyNumberFormat="1" applyFont="1" applyFill="1" applyBorder="1" applyAlignment="1">
      <alignment horizontal="right" indent="1"/>
    </xf>
    <xf numFmtId="3" fontId="2" fillId="0" borderId="10" xfId="0" applyNumberFormat="1" applyFont="1" applyBorder="1" applyAlignment="1" quotePrefix="1">
      <alignment horizontal="right" indent="1"/>
    </xf>
    <xf numFmtId="0" fontId="3" fillId="0" borderId="0" xfId="0" applyFont="1" applyBorder="1" applyAlignment="1">
      <alignment/>
    </xf>
    <xf numFmtId="0" fontId="2" fillId="10" borderId="15" xfId="0" applyFont="1" applyFill="1" applyBorder="1" applyAlignment="1">
      <alignment wrapText="1"/>
    </xf>
    <xf numFmtId="3" fontId="3" fillId="0" borderId="14" xfId="0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49" fontId="7" fillId="33" borderId="21" xfId="0" applyNumberFormat="1" applyFont="1" applyFill="1" applyBorder="1" applyAlignment="1" applyProtection="1">
      <alignment horizontal="center" vertical="center" wrapText="1"/>
      <protection/>
    </xf>
    <xf numFmtId="49" fontId="7" fillId="33" borderId="22" xfId="0" applyNumberFormat="1" applyFont="1" applyFill="1" applyBorder="1" applyAlignment="1" applyProtection="1">
      <alignment horizontal="center" vertical="center" wrapText="1"/>
      <protection/>
    </xf>
    <xf numFmtId="3" fontId="7" fillId="33" borderId="21" xfId="0" applyNumberFormat="1" applyFont="1" applyFill="1" applyBorder="1" applyAlignment="1" applyProtection="1">
      <alignment horizontal="center" vertical="center" wrapText="1"/>
      <protection/>
    </xf>
    <xf numFmtId="3" fontId="7" fillId="33" borderId="22" xfId="0" applyNumberFormat="1" applyFont="1" applyFill="1" applyBorder="1" applyAlignment="1" applyProtection="1">
      <alignment horizontal="center" vertical="center" wrapText="1"/>
      <protection/>
    </xf>
    <xf numFmtId="10" fontId="7" fillId="33" borderId="21" xfId="0" applyNumberFormat="1" applyFont="1" applyFill="1" applyBorder="1" applyAlignment="1" applyProtection="1">
      <alignment horizontal="center" vertical="center" wrapText="1"/>
      <protection/>
    </xf>
    <xf numFmtId="10" fontId="7" fillId="33" borderId="22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Alignment="1">
      <alignment horizontal="center"/>
    </xf>
    <xf numFmtId="0" fontId="6" fillId="33" borderId="21" xfId="0" applyFont="1" applyFill="1" applyBorder="1" applyAlignment="1" applyProtection="1">
      <alignment horizontal="center" vertical="center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3" fontId="2" fillId="33" borderId="21" xfId="0" applyNumberFormat="1" applyFont="1" applyFill="1" applyBorder="1" applyAlignment="1" applyProtection="1">
      <alignment horizontal="center" vertical="center" wrapText="1"/>
      <protection/>
    </xf>
    <xf numFmtId="3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indent="1"/>
      <protection/>
    </xf>
    <xf numFmtId="0" fontId="3" fillId="0" borderId="10" xfId="0" applyFont="1" applyBorder="1" applyAlignment="1" applyProtection="1">
      <alignment horizontal="left" vertical="center" indent="1"/>
      <protection/>
    </xf>
    <xf numFmtId="0" fontId="3" fillId="0" borderId="10" xfId="0" applyFont="1" applyBorder="1" applyAlignment="1" applyProtection="1">
      <alignment horizontal="left" vertical="center" wrapText="1" indent="1"/>
      <protection/>
    </xf>
    <xf numFmtId="3" fontId="2" fillId="0" borderId="14" xfId="0" applyNumberFormat="1" applyFont="1" applyBorder="1" applyAlignment="1">
      <alignment horizontal="left" indent="1"/>
    </xf>
    <xf numFmtId="0" fontId="2" fillId="0" borderId="11" xfId="0" applyFont="1" applyBorder="1" applyAlignment="1" applyProtection="1">
      <alignment horizontal="left" vertical="center" indent="1"/>
      <protection/>
    </xf>
    <xf numFmtId="0" fontId="2" fillId="0" borderId="10" xfId="0" applyFont="1" applyBorder="1" applyAlignment="1" applyProtection="1">
      <alignment horizontal="left" vertical="center" indent="1" shrinkToFi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PageLayoutView="0" workbookViewId="0" topLeftCell="A49">
      <selection activeCell="A8" sqref="A8"/>
    </sheetView>
  </sheetViews>
  <sheetFormatPr defaultColWidth="9.140625" defaultRowHeight="12.75"/>
  <cols>
    <col min="1" max="1" width="38.57421875" style="5" customWidth="1"/>
    <col min="2" max="2" width="12.140625" style="2" customWidth="1"/>
    <col min="3" max="3" width="12.00390625" style="3" customWidth="1"/>
    <col min="4" max="4" width="9.140625" style="3" customWidth="1"/>
    <col min="5" max="5" width="9.00390625" style="3" customWidth="1"/>
    <col min="6" max="6" width="10.28125" style="3" customWidth="1"/>
    <col min="7" max="7" width="8.57421875" style="3" customWidth="1"/>
    <col min="8" max="8" width="11.140625" style="2" customWidth="1"/>
    <col min="9" max="9" width="10.00390625" style="16" customWidth="1"/>
    <col min="10" max="10" width="17.28125" style="5" customWidth="1"/>
    <col min="11" max="16384" width="9.140625" style="5" customWidth="1"/>
  </cols>
  <sheetData>
    <row r="1" spans="1:9" ht="15.75">
      <c r="A1" s="1" t="s">
        <v>0</v>
      </c>
      <c r="I1" s="4" t="s">
        <v>31</v>
      </c>
    </row>
    <row r="2" spans="1:9" ht="18.75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ht="18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</row>
    <row r="4" spans="1:9" ht="15.75" customHeight="1" thickBot="1">
      <c r="A4" s="6">
        <v>12</v>
      </c>
      <c r="B4" s="4"/>
      <c r="I4" s="4" t="s">
        <v>2</v>
      </c>
    </row>
    <row r="5" spans="1:9" ht="13.5" customHeight="1" thickTop="1">
      <c r="A5" s="50" t="s">
        <v>3</v>
      </c>
      <c r="B5" s="43" t="s">
        <v>33</v>
      </c>
      <c r="C5" s="52" t="s">
        <v>34</v>
      </c>
      <c r="D5" s="45" t="s">
        <v>35</v>
      </c>
      <c r="E5" s="45" t="s">
        <v>36</v>
      </c>
      <c r="F5" s="45" t="s">
        <v>37</v>
      </c>
      <c r="G5" s="45" t="s">
        <v>38</v>
      </c>
      <c r="H5" s="45" t="s">
        <v>39</v>
      </c>
      <c r="I5" s="47" t="s">
        <v>29</v>
      </c>
    </row>
    <row r="6" spans="1:9" ht="68.25" customHeight="1" thickBot="1">
      <c r="A6" s="51"/>
      <c r="B6" s="44"/>
      <c r="C6" s="53"/>
      <c r="D6" s="46"/>
      <c r="E6" s="46"/>
      <c r="F6" s="46"/>
      <c r="G6" s="46"/>
      <c r="H6" s="46"/>
      <c r="I6" s="48"/>
    </row>
    <row r="7" spans="1:9" ht="13.5" thickTop="1">
      <c r="A7" s="54" t="s">
        <v>4</v>
      </c>
      <c r="B7" s="7"/>
      <c r="C7" s="8"/>
      <c r="D7" s="8"/>
      <c r="E7" s="8"/>
      <c r="F7" s="8"/>
      <c r="G7" s="8"/>
      <c r="H7" s="7"/>
      <c r="I7" s="9"/>
    </row>
    <row r="8" spans="1:9" ht="12.75">
      <c r="A8" s="55" t="s">
        <v>5</v>
      </c>
      <c r="B8" s="15">
        <v>693934</v>
      </c>
      <c r="C8" s="15">
        <v>655654</v>
      </c>
      <c r="D8" s="10">
        <v>19406</v>
      </c>
      <c r="E8" s="10">
        <v>17788</v>
      </c>
      <c r="F8" s="10">
        <v>4629</v>
      </c>
      <c r="G8" s="10">
        <v>3023</v>
      </c>
      <c r="H8" s="7">
        <f aca="true" t="shared" si="0" ref="H8:H14">SUM(C8:G8)</f>
        <v>700500</v>
      </c>
      <c r="I8" s="9">
        <f>SUM(H8/B8)</f>
        <v>1.0094619949447643</v>
      </c>
    </row>
    <row r="9" spans="1:9" ht="12.75">
      <c r="A9" s="55" t="s">
        <v>6</v>
      </c>
      <c r="B9" s="15">
        <v>72966</v>
      </c>
      <c r="C9" s="15">
        <v>70628</v>
      </c>
      <c r="D9" s="10">
        <v>1955</v>
      </c>
      <c r="E9" s="10">
        <v>1</v>
      </c>
      <c r="F9" s="10">
        <v>373</v>
      </c>
      <c r="G9" s="10">
        <v>742</v>
      </c>
      <c r="H9" s="7">
        <f t="shared" si="0"/>
        <v>73699</v>
      </c>
      <c r="I9" s="9">
        <f aca="true" t="shared" si="1" ref="I9:I14">SUM(H9/B9)</f>
        <v>1.0100457747444016</v>
      </c>
    </row>
    <row r="10" spans="1:9" ht="12.75">
      <c r="A10" s="55" t="s">
        <v>56</v>
      </c>
      <c r="B10" s="21">
        <v>38272</v>
      </c>
      <c r="C10" s="21">
        <v>9025</v>
      </c>
      <c r="D10" s="10">
        <v>12077</v>
      </c>
      <c r="E10" s="19">
        <v>13483</v>
      </c>
      <c r="F10" s="10">
        <v>3615</v>
      </c>
      <c r="G10" s="10"/>
      <c r="H10" s="7">
        <f t="shared" si="0"/>
        <v>38200</v>
      </c>
      <c r="I10" s="9">
        <f t="shared" si="1"/>
        <v>0.99811872909699</v>
      </c>
    </row>
    <row r="11" spans="1:9" ht="12.75">
      <c r="A11" s="56" t="s">
        <v>7</v>
      </c>
      <c r="B11" s="15">
        <v>267287</v>
      </c>
      <c r="C11" s="15">
        <v>266620</v>
      </c>
      <c r="D11" s="10">
        <v>5280</v>
      </c>
      <c r="E11" s="10"/>
      <c r="F11" s="10"/>
      <c r="G11" s="10"/>
      <c r="H11" s="7">
        <f t="shared" si="0"/>
        <v>271900</v>
      </c>
      <c r="I11" s="9">
        <f t="shared" si="1"/>
        <v>1.0172586021766865</v>
      </c>
    </row>
    <row r="12" spans="1:9" ht="12.75">
      <c r="A12" s="56" t="s">
        <v>57</v>
      </c>
      <c r="B12" s="15">
        <v>707277</v>
      </c>
      <c r="C12" s="15">
        <v>710000</v>
      </c>
      <c r="D12" s="10"/>
      <c r="E12" s="10"/>
      <c r="F12" s="10"/>
      <c r="G12" s="10"/>
      <c r="H12" s="7">
        <f t="shared" si="0"/>
        <v>710000</v>
      </c>
      <c r="I12" s="9">
        <f t="shared" si="1"/>
        <v>1.0038499767417857</v>
      </c>
    </row>
    <row r="13" spans="1:9" ht="25.5">
      <c r="A13" s="56" t="s">
        <v>58</v>
      </c>
      <c r="B13" s="15">
        <v>73099</v>
      </c>
      <c r="C13" s="15">
        <v>56985</v>
      </c>
      <c r="D13" s="10">
        <f>(63+306)*6+1</f>
        <v>2215</v>
      </c>
      <c r="E13" s="10"/>
      <c r="F13" s="10"/>
      <c r="G13" s="10"/>
      <c r="H13" s="7">
        <f t="shared" si="0"/>
        <v>59200</v>
      </c>
      <c r="I13" s="9">
        <f t="shared" si="1"/>
        <v>0.809860600008208</v>
      </c>
    </row>
    <row r="14" spans="1:9" ht="15" customHeight="1">
      <c r="A14" s="56" t="s">
        <v>55</v>
      </c>
      <c r="B14" s="20">
        <v>10070</v>
      </c>
      <c r="C14" s="20">
        <v>8000</v>
      </c>
      <c r="D14" s="18"/>
      <c r="E14" s="18"/>
      <c r="F14" s="18"/>
      <c r="G14" s="18"/>
      <c r="H14" s="7">
        <f t="shared" si="0"/>
        <v>8000</v>
      </c>
      <c r="I14" s="11">
        <f t="shared" si="1"/>
        <v>0.7944389275074478</v>
      </c>
    </row>
    <row r="15" spans="1:9" ht="15.75" customHeight="1">
      <c r="A15" s="57" t="s">
        <v>8</v>
      </c>
      <c r="B15" s="22"/>
      <c r="C15" s="22"/>
      <c r="D15" s="41"/>
      <c r="E15" s="41"/>
      <c r="F15" s="41"/>
      <c r="G15" s="41"/>
      <c r="H15" s="22"/>
      <c r="I15" s="22"/>
    </row>
    <row r="16" spans="1:9" ht="12.75">
      <c r="A16" s="58" t="s">
        <v>9</v>
      </c>
      <c r="B16" s="42">
        <f>SUM(B8:B15)</f>
        <v>1862905</v>
      </c>
      <c r="C16" s="42">
        <f aca="true" t="shared" si="2" ref="C16:H16">SUM(C8:C15)</f>
        <v>1776912</v>
      </c>
      <c r="D16" s="42">
        <f t="shared" si="2"/>
        <v>40933</v>
      </c>
      <c r="E16" s="42">
        <f t="shared" si="2"/>
        <v>31272</v>
      </c>
      <c r="F16" s="42">
        <f t="shared" si="2"/>
        <v>8617</v>
      </c>
      <c r="G16" s="42">
        <f t="shared" si="2"/>
        <v>3765</v>
      </c>
      <c r="H16" s="42">
        <f t="shared" si="2"/>
        <v>1861499</v>
      </c>
      <c r="I16" s="11">
        <f>SUM(H16/B16)</f>
        <v>0.9992452647880595</v>
      </c>
    </row>
    <row r="17" spans="1:9" ht="6.75" customHeight="1">
      <c r="A17" s="55"/>
      <c r="B17" s="7"/>
      <c r="C17" s="7"/>
      <c r="D17" s="8"/>
      <c r="E17" s="8"/>
      <c r="F17" s="8"/>
      <c r="G17" s="8"/>
      <c r="H17" s="7"/>
      <c r="I17" s="9"/>
    </row>
    <row r="18" spans="1:15" ht="12.75">
      <c r="A18" s="54" t="s">
        <v>10</v>
      </c>
      <c r="B18" s="7">
        <f>SUM(B19:B20)</f>
        <v>199847</v>
      </c>
      <c r="C18" s="7">
        <f aca="true" t="shared" si="3" ref="C18:H18">SUM(C19:C20)</f>
        <v>177083</v>
      </c>
      <c r="D18" s="7">
        <f t="shared" si="3"/>
        <v>6059</v>
      </c>
      <c r="E18" s="7">
        <f t="shared" si="3"/>
        <v>5316</v>
      </c>
      <c r="F18" s="7">
        <f t="shared" si="3"/>
        <v>1465</v>
      </c>
      <c r="G18" s="7">
        <f t="shared" si="3"/>
        <v>640</v>
      </c>
      <c r="H18" s="7">
        <f t="shared" si="3"/>
        <v>190563</v>
      </c>
      <c r="I18" s="9">
        <f aca="true" t="shared" si="4" ref="I18:I34">SUM(H18/B18)</f>
        <v>0.9535444615130575</v>
      </c>
      <c r="O18" s="39"/>
    </row>
    <row r="19" spans="1:9" ht="12.75">
      <c r="A19" s="55" t="s">
        <v>53</v>
      </c>
      <c r="B19" s="7">
        <v>139358</v>
      </c>
      <c r="C19" s="7">
        <f>ROUND((C8+C9+C10)*0.17,0)+1</f>
        <v>125003</v>
      </c>
      <c r="D19" s="8">
        <f>ROUND((D8+D9+D10)*0.17,0)</f>
        <v>5684</v>
      </c>
      <c r="E19" s="8">
        <f>ROUND((E8+E9+E10)*0.17,0)</f>
        <v>5316</v>
      </c>
      <c r="F19" s="8">
        <f>ROUND((F8+F9+F10)*0.17,0)</f>
        <v>1465</v>
      </c>
      <c r="G19" s="8">
        <f>ROUND((G8+G9+G10)*0.17,0)</f>
        <v>640</v>
      </c>
      <c r="H19" s="7">
        <f>SUM(C19:G19)</f>
        <v>138108</v>
      </c>
      <c r="I19" s="9">
        <f t="shared" si="4"/>
        <v>0.9910302960719872</v>
      </c>
    </row>
    <row r="20" spans="1:9" ht="12.75">
      <c r="A20" s="55" t="s">
        <v>11</v>
      </c>
      <c r="B20" s="7">
        <v>60489</v>
      </c>
      <c r="C20" s="7">
        <f>ROUND((C11+C12+C13+C14)*0.05,0)</f>
        <v>52080</v>
      </c>
      <c r="D20" s="8">
        <f>ROUND((D11+D12+D13+D14)*0.05,0)</f>
        <v>375</v>
      </c>
      <c r="E20" s="8"/>
      <c r="F20" s="8"/>
      <c r="G20" s="8"/>
      <c r="H20" s="7">
        <f>SUM(C20:G20)</f>
        <v>52455</v>
      </c>
      <c r="I20" s="9">
        <f t="shared" si="4"/>
        <v>0.8671824629271437</v>
      </c>
    </row>
    <row r="21" spans="1:9" ht="6.75" customHeight="1">
      <c r="A21" s="55"/>
      <c r="B21" s="7"/>
      <c r="C21" s="7"/>
      <c r="D21" s="8"/>
      <c r="E21" s="8"/>
      <c r="F21" s="8"/>
      <c r="G21" s="8"/>
      <c r="H21" s="7"/>
      <c r="I21" s="9"/>
    </row>
    <row r="22" spans="1:9" ht="12.75">
      <c r="A22" s="59" t="s">
        <v>52</v>
      </c>
      <c r="B22" s="7">
        <f>SUM(B23:B24)</f>
        <v>177518</v>
      </c>
      <c r="C22" s="7">
        <f>SUM(C23:C24)-1</f>
        <v>145207.62393878624</v>
      </c>
      <c r="D22" s="7">
        <f>SUM(D23:D24)</f>
        <v>5011.621050943244</v>
      </c>
      <c r="E22" s="7">
        <f>SUM(E23:E24)</f>
        <v>4401.050094002497</v>
      </c>
      <c r="F22" s="7">
        <f>SUM(F23:F24)</f>
        <v>1212.855227184661</v>
      </c>
      <c r="G22" s="7">
        <f>SUM(G23:G24)</f>
        <v>529.8480173366437</v>
      </c>
      <c r="H22" s="7">
        <f>SUM(H23:H24)+1</f>
        <v>156362.99832825328</v>
      </c>
      <c r="I22" s="9">
        <f t="shared" si="4"/>
        <v>0.8808289769389768</v>
      </c>
    </row>
    <row r="23" spans="1:9" ht="12.75">
      <c r="A23" s="55" t="s">
        <v>53</v>
      </c>
      <c r="B23" s="7">
        <v>121445</v>
      </c>
      <c r="C23" s="7">
        <f>SUM($B$23/$B$19*C19)*0.94</f>
        <v>102399.07271129034</v>
      </c>
      <c r="D23" s="8">
        <f>SUM($B$23/$B$19*D19)*0.95</f>
        <v>4705.712703971068</v>
      </c>
      <c r="E23" s="8">
        <f>SUM($B$23/$B$19*E19)*0.95</f>
        <v>4401.050094002497</v>
      </c>
      <c r="F23" s="8">
        <f>SUM($B$23/$B$19*F19)*0.95</f>
        <v>1212.855227184661</v>
      </c>
      <c r="G23" s="8">
        <f>SUM($B$23/$B$19*G19)*0.95</f>
        <v>529.8480173366437</v>
      </c>
      <c r="H23" s="7">
        <f>SUM(C23:G23)-1</f>
        <v>113247.5387537852</v>
      </c>
      <c r="I23" s="9">
        <f t="shared" si="4"/>
        <v>0.9325006278873992</v>
      </c>
    </row>
    <row r="24" spans="1:9" ht="12.75">
      <c r="A24" s="55" t="s">
        <v>11</v>
      </c>
      <c r="B24" s="7">
        <v>56073</v>
      </c>
      <c r="C24" s="7">
        <f>SUM($B$24/$B$20*C20)*0.88+325</f>
        <v>42809.55122749591</v>
      </c>
      <c r="D24" s="8">
        <f>SUM($B$24/$B$20*D20)*0.88</f>
        <v>305.9083469721768</v>
      </c>
      <c r="E24" s="8"/>
      <c r="F24" s="8"/>
      <c r="G24" s="8"/>
      <c r="H24" s="7">
        <f>SUM(C24:G24)-1</f>
        <v>43114.459574468085</v>
      </c>
      <c r="I24" s="9">
        <f t="shared" si="4"/>
        <v>0.7688987493886199</v>
      </c>
    </row>
    <row r="25" spans="1:9" ht="7.5" customHeight="1">
      <c r="A25" s="12"/>
      <c r="B25" s="7"/>
      <c r="C25" s="7"/>
      <c r="D25" s="8"/>
      <c r="E25" s="8"/>
      <c r="F25" s="8"/>
      <c r="G25" s="8"/>
      <c r="H25" s="7"/>
      <c r="I25" s="9"/>
    </row>
    <row r="26" spans="1:9" ht="12.75">
      <c r="A26" s="12" t="s">
        <v>12</v>
      </c>
      <c r="B26" s="7">
        <v>803</v>
      </c>
      <c r="C26" s="7">
        <v>500</v>
      </c>
      <c r="D26" s="8"/>
      <c r="E26" s="8"/>
      <c r="F26" s="8"/>
      <c r="G26" s="8"/>
      <c r="H26" s="7">
        <f>SUM(C26:G26)</f>
        <v>500</v>
      </c>
      <c r="I26" s="9">
        <f t="shared" si="4"/>
        <v>0.6226650062266501</v>
      </c>
    </row>
    <row r="27" spans="1:9" ht="6.75" customHeight="1">
      <c r="A27" s="12"/>
      <c r="B27" s="7"/>
      <c r="C27" s="7"/>
      <c r="D27" s="8"/>
      <c r="E27" s="8"/>
      <c r="F27" s="8"/>
      <c r="G27" s="8"/>
      <c r="H27" s="7"/>
      <c r="I27" s="9"/>
    </row>
    <row r="28" spans="1:9" ht="12.75">
      <c r="A28" s="12" t="s">
        <v>13</v>
      </c>
      <c r="B28" s="15">
        <v>5041</v>
      </c>
      <c r="C28" s="15">
        <v>2000</v>
      </c>
      <c r="D28" s="8"/>
      <c r="E28" s="8"/>
      <c r="F28" s="8"/>
      <c r="G28" s="8"/>
      <c r="H28" s="7">
        <f>SUM(C28:G28)</f>
        <v>2000</v>
      </c>
      <c r="I28" s="9">
        <f t="shared" si="4"/>
        <v>0.3967466772465781</v>
      </c>
    </row>
    <row r="29" spans="1:9" ht="12.75">
      <c r="A29" s="12" t="s">
        <v>14</v>
      </c>
      <c r="B29" s="15"/>
      <c r="C29" s="15"/>
      <c r="D29" s="8"/>
      <c r="E29" s="8"/>
      <c r="F29" s="8"/>
      <c r="G29" s="8"/>
      <c r="H29" s="7"/>
      <c r="I29" s="9"/>
    </row>
    <row r="30" spans="1:9" ht="12.75">
      <c r="A30" s="12" t="s">
        <v>54</v>
      </c>
      <c r="B30" s="15">
        <v>5688</v>
      </c>
      <c r="C30" s="15">
        <v>1000</v>
      </c>
      <c r="D30" s="8"/>
      <c r="E30" s="8"/>
      <c r="F30" s="8"/>
      <c r="G30" s="8"/>
      <c r="H30" s="7">
        <f>SUM(C30:G30)</f>
        <v>1000</v>
      </c>
      <c r="I30" s="9">
        <f t="shared" si="4"/>
        <v>0.17580872011251758</v>
      </c>
    </row>
    <row r="31" spans="1:9" ht="8.25" customHeight="1">
      <c r="A31" s="12"/>
      <c r="B31" s="7"/>
      <c r="C31" s="7"/>
      <c r="D31" s="8"/>
      <c r="E31" s="8"/>
      <c r="F31" s="8"/>
      <c r="G31" s="8"/>
      <c r="H31" s="7"/>
      <c r="I31" s="9"/>
    </row>
    <row r="32" spans="1:9" ht="12.75">
      <c r="A32" s="12" t="s">
        <v>15</v>
      </c>
      <c r="B32" s="7">
        <v>2974</v>
      </c>
      <c r="C32" s="7">
        <v>3000</v>
      </c>
      <c r="D32" s="8"/>
      <c r="E32" s="8"/>
      <c r="F32" s="8"/>
      <c r="G32" s="8"/>
      <c r="H32" s="7">
        <f>SUM(C32:G32)</f>
        <v>3000</v>
      </c>
      <c r="I32" s="9">
        <f t="shared" si="4"/>
        <v>1.0087424344317417</v>
      </c>
    </row>
    <row r="33" spans="1:9" ht="7.5" customHeight="1">
      <c r="A33" s="12"/>
      <c r="B33" s="7"/>
      <c r="C33" s="7"/>
      <c r="D33" s="8"/>
      <c r="E33" s="8"/>
      <c r="F33" s="8"/>
      <c r="G33" s="8"/>
      <c r="H33" s="7"/>
      <c r="I33" s="9"/>
    </row>
    <row r="34" spans="1:9" ht="12.75">
      <c r="A34" s="12" t="s">
        <v>16</v>
      </c>
      <c r="B34" s="7">
        <v>15375</v>
      </c>
      <c r="C34" s="7">
        <v>12000</v>
      </c>
      <c r="D34" s="8"/>
      <c r="E34" s="8"/>
      <c r="F34" s="8"/>
      <c r="G34" s="8"/>
      <c r="H34" s="7">
        <f>SUM(C34:G34)</f>
        <v>12000</v>
      </c>
      <c r="I34" s="9">
        <f t="shared" si="4"/>
        <v>0.7804878048780488</v>
      </c>
    </row>
    <row r="35" spans="1:9" ht="7.5" customHeight="1">
      <c r="A35" s="12"/>
      <c r="B35" s="7"/>
      <c r="C35" s="7"/>
      <c r="D35" s="8"/>
      <c r="E35" s="8"/>
      <c r="F35" s="8"/>
      <c r="G35" s="8"/>
      <c r="H35" s="7"/>
      <c r="I35" s="9"/>
    </row>
    <row r="36" spans="1:9" ht="10.5" customHeight="1">
      <c r="A36" s="12"/>
      <c r="B36" s="7"/>
      <c r="C36" s="7"/>
      <c r="D36" s="8"/>
      <c r="E36" s="8"/>
      <c r="F36" s="8"/>
      <c r="G36" s="8"/>
      <c r="H36" s="7"/>
      <c r="I36" s="9"/>
    </row>
    <row r="37" spans="1:9" ht="7.5" customHeight="1" thickBot="1">
      <c r="A37" s="12"/>
      <c r="B37" s="7"/>
      <c r="C37" s="7"/>
      <c r="D37" s="8"/>
      <c r="E37" s="8"/>
      <c r="F37" s="8"/>
      <c r="G37" s="8"/>
      <c r="H37" s="7"/>
      <c r="I37" s="9"/>
    </row>
    <row r="38" spans="1:9" s="13" customFormat="1" ht="27.75" customHeight="1" thickBot="1">
      <c r="A38" s="23" t="s">
        <v>40</v>
      </c>
      <c r="B38" s="24">
        <f aca="true" t="shared" si="5" ref="B38:G38">SUM(B16-B18+B22+B26+B28+B29+B30+B32+B34+B36)</f>
        <v>1870457</v>
      </c>
      <c r="C38" s="24">
        <f t="shared" si="5"/>
        <v>1763536.6239387863</v>
      </c>
      <c r="D38" s="24">
        <f t="shared" si="5"/>
        <v>39885.62105094324</v>
      </c>
      <c r="E38" s="24">
        <f t="shared" si="5"/>
        <v>30357.050094002498</v>
      </c>
      <c r="F38" s="24">
        <f t="shared" si="5"/>
        <v>8364.85522718466</v>
      </c>
      <c r="G38" s="24">
        <f t="shared" si="5"/>
        <v>3654.848017336644</v>
      </c>
      <c r="H38" s="24">
        <f>SUM(H16-H18+H22+H26+H28+H29+H30+H32+H34)+1</f>
        <v>1845799.9983282532</v>
      </c>
      <c r="I38" s="25">
        <f>SUM(H38/B38)</f>
        <v>0.9868176591754064</v>
      </c>
    </row>
    <row r="39" spans="1:9" ht="9" customHeight="1">
      <c r="A39" s="12"/>
      <c r="B39" s="7"/>
      <c r="C39" s="7"/>
      <c r="D39" s="8"/>
      <c r="E39" s="8"/>
      <c r="F39" s="8"/>
      <c r="G39" s="8"/>
      <c r="H39" s="7"/>
      <c r="I39" s="9"/>
    </row>
    <row r="40" spans="1:9" ht="12.75">
      <c r="A40" s="12" t="s">
        <v>41</v>
      </c>
      <c r="B40" s="7">
        <f>SUM(B41:B42)</f>
        <v>1147205</v>
      </c>
      <c r="C40" s="7">
        <f aca="true" t="shared" si="6" ref="C40:H40">SUM(C41:C42)</f>
        <v>1067175</v>
      </c>
      <c r="D40" s="7">
        <f t="shared" si="6"/>
        <v>27210</v>
      </c>
      <c r="E40" s="7">
        <f t="shared" si="6"/>
        <v>21010</v>
      </c>
      <c r="F40" s="7">
        <f t="shared" si="6"/>
        <v>6194</v>
      </c>
      <c r="G40" s="7">
        <f t="shared" si="6"/>
        <v>1411</v>
      </c>
      <c r="H40" s="7">
        <f t="shared" si="6"/>
        <v>1123000</v>
      </c>
      <c r="I40" s="9">
        <f aca="true" t="shared" si="7" ref="I40:I63">SUM(H40/B40)</f>
        <v>0.9789008939117246</v>
      </c>
    </row>
    <row r="41" spans="1:9" ht="12.75">
      <c r="A41" s="12" t="s">
        <v>21</v>
      </c>
      <c r="B41" s="7">
        <v>649760</v>
      </c>
      <c r="C41" s="7">
        <v>623535</v>
      </c>
      <c r="D41" s="8">
        <v>10290</v>
      </c>
      <c r="E41" s="8">
        <v>2450</v>
      </c>
      <c r="F41" s="8">
        <v>1274</v>
      </c>
      <c r="G41" s="8">
        <v>451</v>
      </c>
      <c r="H41" s="7">
        <f>SUM(C41:G41)</f>
        <v>638000</v>
      </c>
      <c r="I41" s="9">
        <f t="shared" si="7"/>
        <v>0.9819010096035459</v>
      </c>
    </row>
    <row r="42" spans="1:9" ht="12.75">
      <c r="A42" s="12" t="s">
        <v>17</v>
      </c>
      <c r="B42" s="7">
        <v>497445</v>
      </c>
      <c r="C42" s="7">
        <v>443640</v>
      </c>
      <c r="D42" s="8">
        <f>21150*0.8</f>
        <v>16920</v>
      </c>
      <c r="E42" s="8">
        <f>23200*0.8</f>
        <v>18560</v>
      </c>
      <c r="F42" s="8">
        <f>6150*0.8</f>
        <v>4920</v>
      </c>
      <c r="G42" s="8">
        <f>1200*0.8</f>
        <v>960</v>
      </c>
      <c r="H42" s="7">
        <f>SUM(C42:G42)</f>
        <v>485000</v>
      </c>
      <c r="I42" s="9">
        <f t="shared" si="7"/>
        <v>0.9749821588316296</v>
      </c>
    </row>
    <row r="43" spans="1:9" ht="9.75" customHeight="1">
      <c r="A43" s="12"/>
      <c r="B43" s="7"/>
      <c r="C43" s="7"/>
      <c r="D43" s="8"/>
      <c r="E43" s="8"/>
      <c r="F43" s="8"/>
      <c r="G43" s="8"/>
      <c r="H43" s="7"/>
      <c r="I43" s="9"/>
    </row>
    <row r="44" spans="1:9" ht="12.75">
      <c r="A44" s="12" t="s">
        <v>42</v>
      </c>
      <c r="B44" s="7">
        <f>SUM(B45:B47)</f>
        <v>88674</v>
      </c>
      <c r="C44" s="7">
        <f aca="true" t="shared" si="8" ref="C44:H44">SUM(C45:C47)</f>
        <v>84045.02547028601</v>
      </c>
      <c r="D44" s="7">
        <f t="shared" si="8"/>
        <v>1515.0473894264107</v>
      </c>
      <c r="E44" s="7">
        <f t="shared" si="8"/>
        <v>1239.2474026320697</v>
      </c>
      <c r="F44" s="7">
        <f t="shared" si="8"/>
        <v>346.7159463611705</v>
      </c>
      <c r="G44" s="7">
        <f t="shared" si="8"/>
        <v>120.33574448542602</v>
      </c>
      <c r="H44" s="7">
        <f t="shared" si="8"/>
        <v>87266.37195319109</v>
      </c>
      <c r="I44" s="9">
        <f t="shared" si="7"/>
        <v>0.9841258086157283</v>
      </c>
    </row>
    <row r="45" spans="1:9" ht="12.75">
      <c r="A45" s="12" t="s">
        <v>18</v>
      </c>
      <c r="B45" s="7">
        <v>52240</v>
      </c>
      <c r="C45" s="38">
        <f>C38*2.8%</f>
        <v>49379.02547028601</v>
      </c>
      <c r="D45" s="17">
        <f>D38*2.8%</f>
        <v>1116.7973894264107</v>
      </c>
      <c r="E45" s="17">
        <f>E38*2.8%</f>
        <v>849.9974026320698</v>
      </c>
      <c r="F45" s="17">
        <f>F38*2.8%</f>
        <v>234.21594636117047</v>
      </c>
      <c r="G45" s="17">
        <f>G38*2.8%</f>
        <v>102.33574448542602</v>
      </c>
      <c r="H45" s="7">
        <f>SUM(C45:G45)</f>
        <v>51682.37195319109</v>
      </c>
      <c r="I45" s="9">
        <f t="shared" si="7"/>
        <v>0.9893256499462306</v>
      </c>
    </row>
    <row r="46" spans="1:9" ht="12.75">
      <c r="A46" s="12" t="s">
        <v>19</v>
      </c>
      <c r="B46" s="7">
        <v>21972</v>
      </c>
      <c r="C46" s="7">
        <v>20734</v>
      </c>
      <c r="D46" s="8"/>
      <c r="E46" s="8"/>
      <c r="F46" s="8"/>
      <c r="G46" s="8"/>
      <c r="H46" s="7">
        <f>SUM(C46:G46)</f>
        <v>20734</v>
      </c>
      <c r="I46" s="9">
        <f t="shared" si="7"/>
        <v>0.943655561623885</v>
      </c>
    </row>
    <row r="47" spans="1:9" ht="12.75">
      <c r="A47" s="12" t="s">
        <v>20</v>
      </c>
      <c r="B47" s="7">
        <v>14462</v>
      </c>
      <c r="C47" s="7">
        <v>13932</v>
      </c>
      <c r="D47" s="8">
        <f>D51*4.5%</f>
        <v>398.25</v>
      </c>
      <c r="E47" s="8">
        <f>E51*4.5%</f>
        <v>389.25</v>
      </c>
      <c r="F47" s="8">
        <f>F51*4.5%</f>
        <v>112.5</v>
      </c>
      <c r="G47" s="8">
        <f>G51*4.5%</f>
        <v>18</v>
      </c>
      <c r="H47" s="7">
        <f>SUM(C47:G47)</f>
        <v>14850</v>
      </c>
      <c r="I47" s="9">
        <f t="shared" si="7"/>
        <v>1.0268289309915641</v>
      </c>
    </row>
    <row r="48" spans="1:9" ht="9.75" customHeight="1">
      <c r="A48" s="12"/>
      <c r="B48" s="7"/>
      <c r="C48" s="7"/>
      <c r="D48" s="8"/>
      <c r="E48" s="8"/>
      <c r="F48" s="8"/>
      <c r="G48" s="8"/>
      <c r="H48" s="7"/>
      <c r="I48" s="9"/>
    </row>
    <row r="49" spans="1:9" ht="12.75">
      <c r="A49" s="14" t="s">
        <v>43</v>
      </c>
      <c r="B49" s="15">
        <v>1510</v>
      </c>
      <c r="C49" s="15">
        <v>5000</v>
      </c>
      <c r="D49" s="10"/>
      <c r="E49" s="10"/>
      <c r="F49" s="10"/>
      <c r="G49" s="10"/>
      <c r="H49" s="15">
        <f>SUM(C49:G49)</f>
        <v>5000</v>
      </c>
      <c r="I49" s="9"/>
    </row>
    <row r="50" spans="1:9" ht="9" customHeight="1">
      <c r="A50" s="14"/>
      <c r="B50" s="15"/>
      <c r="C50" s="15"/>
      <c r="D50" s="10"/>
      <c r="E50" s="10"/>
      <c r="F50" s="10"/>
      <c r="G50" s="10"/>
      <c r="H50" s="15"/>
      <c r="I50" s="9"/>
    </row>
    <row r="51" spans="1:9" ht="12.75">
      <c r="A51" s="14" t="s">
        <v>44</v>
      </c>
      <c r="B51" s="15">
        <f>SUM(B52:B59)</f>
        <v>434786</v>
      </c>
      <c r="C51" s="15">
        <f aca="true" t="shared" si="9" ref="C51:H51">SUM(C52:C59)</f>
        <v>374390</v>
      </c>
      <c r="D51" s="15">
        <f t="shared" si="9"/>
        <v>8850</v>
      </c>
      <c r="E51" s="15">
        <f t="shared" si="9"/>
        <v>8650</v>
      </c>
      <c r="F51" s="15">
        <f t="shared" si="9"/>
        <v>2500</v>
      </c>
      <c r="G51" s="15">
        <f t="shared" si="9"/>
        <v>400</v>
      </c>
      <c r="H51" s="15">
        <f t="shared" si="9"/>
        <v>394790</v>
      </c>
      <c r="I51" s="9">
        <f t="shared" si="7"/>
        <v>0.9080099175226434</v>
      </c>
    </row>
    <row r="52" spans="1:9" ht="12.75">
      <c r="A52" s="14" t="s">
        <v>23</v>
      </c>
      <c r="B52" s="15">
        <v>260421</v>
      </c>
      <c r="C52" s="15">
        <v>215100</v>
      </c>
      <c r="D52" s="10">
        <v>8500</v>
      </c>
      <c r="E52" s="10">
        <v>8500</v>
      </c>
      <c r="F52" s="10">
        <v>2500</v>
      </c>
      <c r="G52" s="10">
        <v>400</v>
      </c>
      <c r="H52" s="15">
        <f aca="true" t="shared" si="10" ref="H52:H59">SUM(C52:G52)</f>
        <v>235000</v>
      </c>
      <c r="I52" s="9">
        <f t="shared" si="7"/>
        <v>0.902384984313861</v>
      </c>
    </row>
    <row r="53" spans="1:9" ht="12.75">
      <c r="A53" s="14" t="s">
        <v>26</v>
      </c>
      <c r="B53" s="15">
        <v>861</v>
      </c>
      <c r="C53" s="15">
        <v>8000</v>
      </c>
      <c r="D53" s="10"/>
      <c r="E53" s="10"/>
      <c r="F53" s="10"/>
      <c r="G53" s="10"/>
      <c r="H53" s="15">
        <f t="shared" si="10"/>
        <v>8000</v>
      </c>
      <c r="I53" s="9"/>
    </row>
    <row r="54" spans="1:9" ht="12.75">
      <c r="A54" s="14" t="s">
        <v>30</v>
      </c>
      <c r="B54" s="15">
        <v>64528</v>
      </c>
      <c r="C54" s="15">
        <v>64290</v>
      </c>
      <c r="D54" s="10">
        <v>350</v>
      </c>
      <c r="E54" s="10">
        <v>150</v>
      </c>
      <c r="F54" s="10"/>
      <c r="G54" s="10"/>
      <c r="H54" s="15">
        <f t="shared" si="10"/>
        <v>64790</v>
      </c>
      <c r="I54" s="9">
        <f t="shared" si="7"/>
        <v>1.004060252913464</v>
      </c>
    </row>
    <row r="55" spans="1:9" ht="12.75">
      <c r="A55" s="14" t="s">
        <v>24</v>
      </c>
      <c r="B55" s="15">
        <v>7657</v>
      </c>
      <c r="C55" s="15">
        <v>7000</v>
      </c>
      <c r="D55" s="10"/>
      <c r="E55" s="10"/>
      <c r="F55" s="10"/>
      <c r="G55" s="10"/>
      <c r="H55" s="15">
        <f t="shared" si="10"/>
        <v>7000</v>
      </c>
      <c r="I55" s="9">
        <f t="shared" si="7"/>
        <v>0.9141961603761264</v>
      </c>
    </row>
    <row r="56" spans="1:9" ht="12.75">
      <c r="A56" s="14" t="s">
        <v>22</v>
      </c>
      <c r="B56" s="15">
        <v>42090</v>
      </c>
      <c r="C56" s="15">
        <v>40000</v>
      </c>
      <c r="D56" s="10"/>
      <c r="E56" s="10"/>
      <c r="F56" s="10"/>
      <c r="G56" s="10"/>
      <c r="H56" s="15">
        <f t="shared" si="10"/>
        <v>40000</v>
      </c>
      <c r="I56" s="9">
        <f t="shared" si="7"/>
        <v>0.950344499881207</v>
      </c>
    </row>
    <row r="57" spans="1:9" ht="12.75">
      <c r="A57" s="14" t="s">
        <v>28</v>
      </c>
      <c r="B57" s="15">
        <v>15639</v>
      </c>
      <c r="C57" s="15">
        <v>10000</v>
      </c>
      <c r="D57" s="10"/>
      <c r="E57" s="10"/>
      <c r="F57" s="10"/>
      <c r="G57" s="10"/>
      <c r="H57" s="15">
        <f t="shared" si="10"/>
        <v>10000</v>
      </c>
      <c r="I57" s="9">
        <f t="shared" si="7"/>
        <v>0.6394270733422853</v>
      </c>
    </row>
    <row r="58" spans="1:9" ht="12.75">
      <c r="A58" s="14" t="s">
        <v>27</v>
      </c>
      <c r="B58" s="15">
        <v>0</v>
      </c>
      <c r="C58" s="15">
        <v>5000</v>
      </c>
      <c r="D58" s="10"/>
      <c r="E58" s="10"/>
      <c r="F58" s="10"/>
      <c r="G58" s="10"/>
      <c r="H58" s="15">
        <f t="shared" si="10"/>
        <v>5000</v>
      </c>
      <c r="I58" s="9"/>
    </row>
    <row r="59" spans="1:9" ht="12.75">
      <c r="A59" s="14" t="s">
        <v>25</v>
      </c>
      <c r="B59" s="15">
        <v>43590</v>
      </c>
      <c r="C59" s="15">
        <v>25000</v>
      </c>
      <c r="D59" s="10"/>
      <c r="E59" s="10"/>
      <c r="F59" s="10"/>
      <c r="G59" s="10"/>
      <c r="H59" s="15">
        <f t="shared" si="10"/>
        <v>25000</v>
      </c>
      <c r="I59" s="9">
        <f t="shared" si="7"/>
        <v>0.5735260380821289</v>
      </c>
    </row>
    <row r="60" spans="1:9" ht="10.5" customHeight="1">
      <c r="A60" s="14"/>
      <c r="B60" s="15"/>
      <c r="C60" s="15"/>
      <c r="D60" s="10"/>
      <c r="E60" s="10"/>
      <c r="F60" s="10"/>
      <c r="G60" s="10"/>
      <c r="H60" s="15"/>
      <c r="I60" s="9"/>
    </row>
    <row r="61" spans="1:9" ht="12.75">
      <c r="A61" s="14" t="s">
        <v>45</v>
      </c>
      <c r="B61" s="15">
        <v>8985</v>
      </c>
      <c r="C61" s="15">
        <v>7500</v>
      </c>
      <c r="D61" s="10"/>
      <c r="E61" s="10"/>
      <c r="F61" s="10"/>
      <c r="G61" s="10"/>
      <c r="H61" s="15">
        <f>SUM(C61:G61)</f>
        <v>7500</v>
      </c>
      <c r="I61" s="9">
        <f t="shared" si="7"/>
        <v>0.8347245409015025</v>
      </c>
    </row>
    <row r="62" spans="1:9" ht="6" customHeight="1">
      <c r="A62" s="14"/>
      <c r="B62" s="15"/>
      <c r="C62" s="15"/>
      <c r="D62" s="10"/>
      <c r="E62" s="10"/>
      <c r="F62" s="10"/>
      <c r="G62" s="10"/>
      <c r="H62" s="15"/>
      <c r="I62" s="9"/>
    </row>
    <row r="63" spans="1:9" ht="16.5" customHeight="1">
      <c r="A63" s="12" t="s">
        <v>46</v>
      </c>
      <c r="B63" s="15">
        <v>148349</v>
      </c>
      <c r="C63" s="15">
        <v>133577</v>
      </c>
      <c r="D63" s="8"/>
      <c r="E63" s="8"/>
      <c r="F63" s="8"/>
      <c r="G63" s="8"/>
      <c r="H63" s="15">
        <f>SUM(C63:G63)</f>
        <v>133577</v>
      </c>
      <c r="I63" s="9">
        <f t="shared" si="7"/>
        <v>0.9004240001617807</v>
      </c>
    </row>
    <row r="64" spans="1:9" ht="3.75" customHeight="1">
      <c r="A64" s="12"/>
      <c r="B64" s="15"/>
      <c r="C64" s="15"/>
      <c r="D64" s="8"/>
      <c r="E64" s="8"/>
      <c r="F64" s="8"/>
      <c r="G64" s="8"/>
      <c r="H64" s="7"/>
      <c r="I64" s="9"/>
    </row>
    <row r="65" spans="1:9" ht="4.5" customHeight="1">
      <c r="A65" s="12"/>
      <c r="B65" s="15"/>
      <c r="C65" s="15"/>
      <c r="D65" s="8"/>
      <c r="E65" s="8"/>
      <c r="F65" s="8"/>
      <c r="G65" s="8"/>
      <c r="H65" s="7"/>
      <c r="I65" s="9"/>
    </row>
    <row r="66" spans="1:9" ht="13.5" thickBot="1">
      <c r="A66" s="14" t="s">
        <v>47</v>
      </c>
      <c r="B66" s="15">
        <v>12009</v>
      </c>
      <c r="C66" s="15">
        <v>9400</v>
      </c>
      <c r="D66" s="10"/>
      <c r="E66" s="10"/>
      <c r="F66" s="10"/>
      <c r="G66" s="10"/>
      <c r="H66" s="15">
        <f>SUM(C66:G66)</f>
        <v>9400</v>
      </c>
      <c r="I66" s="9">
        <f>SUM(H66/B66)</f>
        <v>0.7827462736281122</v>
      </c>
    </row>
    <row r="67" spans="1:9" s="13" customFormat="1" ht="27.75" customHeight="1" thickBot="1">
      <c r="A67" s="27" t="s">
        <v>48</v>
      </c>
      <c r="B67" s="28">
        <f>SUM(B40+B44+B49+B51+B61+B63+B66)</f>
        <v>1841518</v>
      </c>
      <c r="C67" s="28">
        <f aca="true" t="shared" si="11" ref="C67:H67">SUM(C40+C44+C49+C51+C61+C63+C66)</f>
        <v>1681087.025470286</v>
      </c>
      <c r="D67" s="28">
        <f t="shared" si="11"/>
        <v>37575.047389426414</v>
      </c>
      <c r="E67" s="28">
        <f t="shared" si="11"/>
        <v>30899.24740263207</v>
      </c>
      <c r="F67" s="28">
        <f t="shared" si="11"/>
        <v>9040.715946361172</v>
      </c>
      <c r="G67" s="28">
        <f t="shared" si="11"/>
        <v>1931.335744485426</v>
      </c>
      <c r="H67" s="28">
        <f t="shared" si="11"/>
        <v>1760533.371953191</v>
      </c>
      <c r="I67" s="26">
        <f>SUM(H67/B67)</f>
        <v>0.956022896302502</v>
      </c>
    </row>
    <row r="68" spans="1:9" s="13" customFormat="1" ht="27.75" customHeight="1" thickBot="1">
      <c r="A68" s="40" t="s">
        <v>49</v>
      </c>
      <c r="B68" s="29">
        <f aca="true" t="shared" si="12" ref="B68:H68">SUM(B38-B67)</f>
        <v>28939</v>
      </c>
      <c r="C68" s="29">
        <f t="shared" si="12"/>
        <v>82449.59846850042</v>
      </c>
      <c r="D68" s="29">
        <f t="shared" si="12"/>
        <v>2310.573661516828</v>
      </c>
      <c r="E68" s="29">
        <f t="shared" si="12"/>
        <v>-542.197308629573</v>
      </c>
      <c r="F68" s="29">
        <f t="shared" si="12"/>
        <v>-675.8607191765113</v>
      </c>
      <c r="G68" s="29">
        <f t="shared" si="12"/>
        <v>1723.5122728512179</v>
      </c>
      <c r="H68" s="29">
        <f t="shared" si="12"/>
        <v>85266.62637506216</v>
      </c>
      <c r="I68" s="30">
        <f>SUM(H68/B68)</f>
        <v>2.94642615069844</v>
      </c>
    </row>
    <row r="69" spans="1:9" ht="22.5" customHeight="1" thickBot="1">
      <c r="A69" s="33" t="s">
        <v>50</v>
      </c>
      <c r="B69" s="31">
        <v>-261438</v>
      </c>
      <c r="C69" s="32">
        <v>-340786</v>
      </c>
      <c r="D69" s="32">
        <v>52511</v>
      </c>
      <c r="E69" s="32">
        <v>60901</v>
      </c>
      <c r="F69" s="32">
        <v>-692</v>
      </c>
      <c r="G69" s="32">
        <v>-4433</v>
      </c>
      <c r="H69" s="31">
        <f>SUM(C69:G69)</f>
        <v>-232499</v>
      </c>
      <c r="I69" s="34">
        <f>SUM(H69/B69)</f>
        <v>0.8893083637420727</v>
      </c>
    </row>
    <row r="70" spans="1:9" s="13" customFormat="1" ht="26.25" thickBot="1">
      <c r="A70" s="35" t="s">
        <v>51</v>
      </c>
      <c r="B70" s="36">
        <f aca="true" t="shared" si="13" ref="B70:G70">SUM(B68+B69)</f>
        <v>-232499</v>
      </c>
      <c r="C70" s="36">
        <f>SUM(C68+C69)</f>
        <v>-258336.40153149958</v>
      </c>
      <c r="D70" s="36">
        <f t="shared" si="13"/>
        <v>54821.57366151683</v>
      </c>
      <c r="E70" s="36">
        <f t="shared" si="13"/>
        <v>60358.80269137042</v>
      </c>
      <c r="F70" s="36">
        <f t="shared" si="13"/>
        <v>-1367.8607191765113</v>
      </c>
      <c r="G70" s="36">
        <f t="shared" si="13"/>
        <v>-2709.487727148782</v>
      </c>
      <c r="H70" s="36">
        <f>SUM(C70:G70)</f>
        <v>-147233.3736249376</v>
      </c>
      <c r="I70" s="37">
        <f>SUM(H70/B70)</f>
        <v>0.6332645457612188</v>
      </c>
    </row>
  </sheetData>
  <sheetProtection/>
  <mergeCells count="11">
    <mergeCell ref="E5:E6"/>
    <mergeCell ref="B5:B6"/>
    <mergeCell ref="F5:F6"/>
    <mergeCell ref="G5:G6"/>
    <mergeCell ref="H5:H6"/>
    <mergeCell ref="I5:I6"/>
    <mergeCell ref="A2:I2"/>
    <mergeCell ref="A3:I3"/>
    <mergeCell ref="A5:A6"/>
    <mergeCell ref="C5:C6"/>
    <mergeCell ref="D5:D6"/>
  </mergeCells>
  <conditionalFormatting sqref="C12 C63">
    <cfRule type="cellIs" priority="1" dxfId="0" operator="lessThanOrEqual" stopIfTrue="1">
      <formula>0</formula>
    </cfRule>
  </conditionalFormatting>
  <printOptions horizontalCentered="1" verticalCentered="1"/>
  <pageMargins left="0.25" right="0.25" top="0.75" bottom="0.75" header="0.3" footer="0.3"/>
  <pageSetup fitToHeight="1" fitToWidth="1" orientation="portrait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 Erenyő</dc:creator>
  <cp:keywords/>
  <dc:description/>
  <cp:lastModifiedBy>Tartalék</cp:lastModifiedBy>
  <cp:lastPrinted>2015-04-01T11:45:41Z</cp:lastPrinted>
  <dcterms:created xsi:type="dcterms:W3CDTF">2010-12-08T17:27:49Z</dcterms:created>
  <dcterms:modified xsi:type="dcterms:W3CDTF">2015-04-01T12:11:46Z</dcterms:modified>
  <cp:category/>
  <cp:version/>
  <cp:contentType/>
  <cp:contentStatus/>
</cp:coreProperties>
</file>